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GECON\LICITACAO\SEDU 2026\CHAMADAS PÚBLICAS\JÉSSICA\AGRICULTURA FAMILIAR - 72 ITENS\DOCUMENTOS PARA PUBLICAR NO SITE\"/>
    </mc:Choice>
  </mc:AlternateContent>
  <xr:revisionPtr revIDLastSave="0" documentId="13_ncr:1_{4DAA1517-4802-4C33-B79A-28D6E18B5B13}" xr6:coauthVersionLast="47" xr6:coauthVersionMax="47" xr10:uidLastSave="{00000000-0000-0000-0000-000000000000}"/>
  <bookViews>
    <workbookView xWindow="-120" yWindow="-120" windowWidth="29040" windowHeight="15720" xr2:uid="{17480147-DF3C-41AD-84D4-195FABEDA727}"/>
  </bookViews>
  <sheets>
    <sheet name="ESTOCAVEIS" sheetId="2" r:id="rId1"/>
    <sheet name="HORTIFRUTI" sheetId="3" r:id="rId2"/>
  </sheets>
  <definedNames>
    <definedName name="_xlnm._FilterDatabase" localSheetId="0" hidden="1">ESTOCAVEIS!$D$1:$D$379</definedName>
    <definedName name="_xlnm._FilterDatabase" localSheetId="1" hidden="1">HORTIFRUTI!$D$1:$D$459</definedName>
    <definedName name="_xlnm.Print_Area" localSheetId="0">ESTOCAVEIS!$A$1:$H$380</definedName>
    <definedName name="_xlnm.Print_Area" localSheetId="1">HORTIFRUTI!$A$1:$H$460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7" i="2"/>
  <c r="F442" i="3" l="1"/>
  <c r="H442" i="3" s="1"/>
  <c r="F441" i="3"/>
  <c r="H441" i="3" s="1"/>
  <c r="F440" i="3"/>
  <c r="H440" i="3" s="1"/>
  <c r="F439" i="3"/>
  <c r="H439" i="3" s="1"/>
  <c r="H438" i="3"/>
  <c r="F438" i="3"/>
  <c r="F437" i="3"/>
  <c r="H437" i="3" s="1"/>
  <c r="F436" i="3"/>
  <c r="H436" i="3" s="1"/>
  <c r="F435" i="3"/>
  <c r="H435" i="3" s="1"/>
  <c r="F434" i="3"/>
  <c r="H434" i="3" s="1"/>
  <c r="F433" i="3"/>
  <c r="H433" i="3" s="1"/>
  <c r="H432" i="3"/>
  <c r="F432" i="3"/>
  <c r="F431" i="3"/>
  <c r="H431" i="3" s="1"/>
  <c r="F430" i="3"/>
  <c r="H430" i="3" s="1"/>
  <c r="F429" i="3"/>
  <c r="H429" i="3" s="1"/>
  <c r="F428" i="3"/>
  <c r="H428" i="3" s="1"/>
  <c r="F427" i="3"/>
  <c r="H427" i="3" s="1"/>
  <c r="H426" i="3"/>
  <c r="F426" i="3"/>
  <c r="F425" i="3"/>
  <c r="H425" i="3" s="1"/>
  <c r="H424" i="3"/>
  <c r="F424" i="3"/>
  <c r="F423" i="3"/>
  <c r="H423" i="3" s="1"/>
  <c r="F422" i="3"/>
  <c r="H422" i="3" s="1"/>
  <c r="F421" i="3"/>
  <c r="H421" i="3" s="1"/>
  <c r="H420" i="3"/>
  <c r="F420" i="3"/>
  <c r="F419" i="3"/>
  <c r="H419" i="3" s="1"/>
  <c r="H418" i="3"/>
  <c r="F418" i="3"/>
  <c r="F417" i="3"/>
  <c r="H417" i="3" s="1"/>
  <c r="F416" i="3"/>
  <c r="H416" i="3" s="1"/>
  <c r="F415" i="3"/>
  <c r="H415" i="3" s="1"/>
  <c r="H414" i="3"/>
  <c r="F414" i="3"/>
  <c r="F413" i="3"/>
  <c r="H413" i="3" s="1"/>
  <c r="H412" i="3"/>
  <c r="F412" i="3"/>
  <c r="F411" i="3"/>
  <c r="H411" i="3" s="1"/>
  <c r="F410" i="3"/>
  <c r="H410" i="3" s="1"/>
  <c r="F409" i="3"/>
  <c r="H409" i="3" s="1"/>
  <c r="H408" i="3"/>
  <c r="F408" i="3"/>
  <c r="F407" i="3"/>
  <c r="H407" i="3" s="1"/>
  <c r="H406" i="3"/>
  <c r="F406" i="3"/>
  <c r="F405" i="3"/>
  <c r="H405" i="3" s="1"/>
  <c r="F404" i="3"/>
  <c r="H404" i="3" s="1"/>
  <c r="F403" i="3"/>
  <c r="H403" i="3" s="1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99" i="3" s="1"/>
  <c r="F457" i="3" s="1"/>
  <c r="H359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55" i="3" s="1"/>
  <c r="F456" i="3" s="1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311" i="3" s="1"/>
  <c r="F455" i="3" s="1"/>
  <c r="H267" i="3"/>
  <c r="F454" i="3" s="1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223" i="3" s="1"/>
  <c r="F453" i="3" s="1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79" i="3" s="1"/>
  <c r="F452" i="3" s="1"/>
  <c r="H140" i="3"/>
  <c r="H139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135" i="3" s="1"/>
  <c r="F451" i="3" s="1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91" i="3" s="1"/>
  <c r="F450" i="3" s="1"/>
  <c r="H46" i="3"/>
  <c r="F46" i="3"/>
  <c r="F45" i="3"/>
  <c r="H45" i="3" s="1"/>
  <c r="H44" i="3"/>
  <c r="F44" i="3"/>
  <c r="F43" i="3"/>
  <c r="H43" i="3" s="1"/>
  <c r="F42" i="3"/>
  <c r="H42" i="3" s="1"/>
  <c r="H41" i="3"/>
  <c r="F41" i="3"/>
  <c r="H40" i="3"/>
  <c r="F40" i="3"/>
  <c r="F39" i="3"/>
  <c r="H39" i="3" s="1"/>
  <c r="H38" i="3"/>
  <c r="F38" i="3"/>
  <c r="F37" i="3"/>
  <c r="H37" i="3" s="1"/>
  <c r="F36" i="3"/>
  <c r="H36" i="3" s="1"/>
  <c r="H35" i="3"/>
  <c r="F35" i="3"/>
  <c r="H34" i="3"/>
  <c r="F34" i="3"/>
  <c r="F33" i="3"/>
  <c r="H33" i="3" s="1"/>
  <c r="H32" i="3"/>
  <c r="F32" i="3"/>
  <c r="F31" i="3"/>
  <c r="H31" i="3" s="1"/>
  <c r="F30" i="3"/>
  <c r="H30" i="3" s="1"/>
  <c r="H29" i="3"/>
  <c r="F29" i="3"/>
  <c r="H28" i="3"/>
  <c r="F28" i="3"/>
  <c r="F27" i="3"/>
  <c r="H27" i="3" s="1"/>
  <c r="H26" i="3"/>
  <c r="F26" i="3"/>
  <c r="F25" i="3"/>
  <c r="H25" i="3" s="1"/>
  <c r="F24" i="3"/>
  <c r="H24" i="3" s="1"/>
  <c r="H23" i="3"/>
  <c r="F23" i="3"/>
  <c r="H22" i="3"/>
  <c r="F22" i="3"/>
  <c r="F21" i="3"/>
  <c r="H21" i="3" s="1"/>
  <c r="H20" i="3"/>
  <c r="F20" i="3"/>
  <c r="F19" i="3"/>
  <c r="H19" i="3" s="1"/>
  <c r="F18" i="3"/>
  <c r="H18" i="3" s="1"/>
  <c r="H17" i="3"/>
  <c r="F17" i="3"/>
  <c r="H16" i="3"/>
  <c r="F16" i="3"/>
  <c r="F15" i="3"/>
  <c r="H15" i="3" s="1"/>
  <c r="H14" i="3"/>
  <c r="F14" i="3"/>
  <c r="F13" i="3"/>
  <c r="H13" i="3" s="1"/>
  <c r="F12" i="3"/>
  <c r="H12" i="3" s="1"/>
  <c r="H11" i="3"/>
  <c r="F11" i="3"/>
  <c r="H10" i="3"/>
  <c r="F10" i="3"/>
  <c r="F9" i="3"/>
  <c r="H9" i="3" s="1"/>
  <c r="H8" i="3"/>
  <c r="F8" i="3"/>
  <c r="H7" i="3"/>
  <c r="H47" i="3" l="1"/>
  <c r="F449" i="3" s="1"/>
  <c r="H443" i="3"/>
  <c r="F458" i="3" s="1"/>
  <c r="F459" i="3" l="1"/>
  <c r="H362" i="2" l="1"/>
  <c r="H361" i="2"/>
  <c r="H360" i="2"/>
  <c r="H359" i="2"/>
  <c r="H358" i="2"/>
  <c r="F358" i="2"/>
  <c r="F357" i="2"/>
  <c r="H357" i="2" s="1"/>
  <c r="F356" i="2"/>
  <c r="H356" i="2" s="1"/>
  <c r="F355" i="2"/>
  <c r="H355" i="2" s="1"/>
  <c r="H354" i="2"/>
  <c r="F353" i="2"/>
  <c r="H353" i="2" s="1"/>
  <c r="H352" i="2"/>
  <c r="F352" i="2"/>
  <c r="F351" i="2"/>
  <c r="H351" i="2" s="1"/>
  <c r="F350" i="2"/>
  <c r="H350" i="2" s="1"/>
  <c r="H349" i="2"/>
  <c r="F349" i="2"/>
  <c r="H348" i="2"/>
  <c r="F348" i="2"/>
  <c r="F347" i="2"/>
  <c r="H347" i="2" s="1"/>
  <c r="H346" i="2"/>
  <c r="F346" i="2"/>
  <c r="H345" i="2"/>
  <c r="F344" i="2"/>
  <c r="H344" i="2" s="1"/>
  <c r="F343" i="2"/>
  <c r="H343" i="2" s="1"/>
  <c r="F342" i="2"/>
  <c r="H342" i="2" s="1"/>
  <c r="H341" i="2"/>
  <c r="F340" i="2"/>
  <c r="H340" i="2" s="1"/>
  <c r="H339" i="2"/>
  <c r="F339" i="2"/>
  <c r="F338" i="2"/>
  <c r="H338" i="2" s="1"/>
  <c r="H337" i="2"/>
  <c r="F337" i="2"/>
  <c r="H336" i="2"/>
  <c r="F336" i="2"/>
  <c r="H335" i="2"/>
  <c r="F335" i="2"/>
  <c r="F334" i="2"/>
  <c r="H334" i="2" s="1"/>
  <c r="H333" i="2"/>
  <c r="F333" i="2"/>
  <c r="F332" i="2"/>
  <c r="H332" i="2" s="1"/>
  <c r="F331" i="2"/>
  <c r="H331" i="2" s="1"/>
  <c r="H326" i="2"/>
  <c r="H325" i="2"/>
  <c r="H324" i="2"/>
  <c r="H323" i="2"/>
  <c r="F322" i="2"/>
  <c r="H322" i="2" s="1"/>
  <c r="H321" i="2"/>
  <c r="F321" i="2"/>
  <c r="F320" i="2"/>
  <c r="H320" i="2" s="1"/>
  <c r="F319" i="2"/>
  <c r="H319" i="2" s="1"/>
  <c r="H318" i="2"/>
  <c r="H317" i="2"/>
  <c r="F317" i="2"/>
  <c r="F316" i="2"/>
  <c r="H316" i="2" s="1"/>
  <c r="H315" i="2"/>
  <c r="F315" i="2"/>
  <c r="F314" i="2"/>
  <c r="H314" i="2" s="1"/>
  <c r="F313" i="2"/>
  <c r="H313" i="2" s="1"/>
  <c r="H312" i="2"/>
  <c r="F312" i="2"/>
  <c r="H311" i="2"/>
  <c r="F311" i="2"/>
  <c r="F310" i="2"/>
  <c r="H310" i="2" s="1"/>
  <c r="H309" i="2"/>
  <c r="H308" i="2"/>
  <c r="F308" i="2"/>
  <c r="F307" i="2"/>
  <c r="H307" i="2" s="1"/>
  <c r="F306" i="2"/>
  <c r="H306" i="2" s="1"/>
  <c r="H305" i="2"/>
  <c r="H304" i="2"/>
  <c r="F304" i="2"/>
  <c r="F303" i="2"/>
  <c r="H303" i="2" s="1"/>
  <c r="H302" i="2"/>
  <c r="F302" i="2"/>
  <c r="F301" i="2"/>
  <c r="H301" i="2" s="1"/>
  <c r="F300" i="2"/>
  <c r="H300" i="2" s="1"/>
  <c r="H299" i="2"/>
  <c r="F299" i="2"/>
  <c r="H298" i="2"/>
  <c r="F298" i="2"/>
  <c r="F297" i="2"/>
  <c r="H297" i="2" s="1"/>
  <c r="H296" i="2"/>
  <c r="F296" i="2"/>
  <c r="F295" i="2"/>
  <c r="H295" i="2" s="1"/>
  <c r="H290" i="2"/>
  <c r="H289" i="2"/>
  <c r="H288" i="2"/>
  <c r="H287" i="2"/>
  <c r="H286" i="2"/>
  <c r="F286" i="2"/>
  <c r="F285" i="2"/>
  <c r="H285" i="2" s="1"/>
  <c r="H284" i="2"/>
  <c r="F284" i="2"/>
  <c r="F283" i="2"/>
  <c r="H283" i="2" s="1"/>
  <c r="H282" i="2"/>
  <c r="H281" i="2"/>
  <c r="F281" i="2"/>
  <c r="H280" i="2"/>
  <c r="F280" i="2"/>
  <c r="F279" i="2"/>
  <c r="H279" i="2" s="1"/>
  <c r="H278" i="2"/>
  <c r="F278" i="2"/>
  <c r="F277" i="2"/>
  <c r="H277" i="2" s="1"/>
  <c r="F276" i="2"/>
  <c r="H276" i="2" s="1"/>
  <c r="H275" i="2"/>
  <c r="F275" i="2"/>
  <c r="H274" i="2"/>
  <c r="F274" i="2"/>
  <c r="H273" i="2"/>
  <c r="F272" i="2"/>
  <c r="H272" i="2" s="1"/>
  <c r="H271" i="2"/>
  <c r="F271" i="2"/>
  <c r="F270" i="2"/>
  <c r="H270" i="2" s="1"/>
  <c r="H269" i="2"/>
  <c r="H268" i="2"/>
  <c r="F268" i="2"/>
  <c r="H267" i="2"/>
  <c r="F267" i="2"/>
  <c r="F266" i="2"/>
  <c r="H266" i="2" s="1"/>
  <c r="H265" i="2"/>
  <c r="F265" i="2"/>
  <c r="F264" i="2"/>
  <c r="H264" i="2" s="1"/>
  <c r="F263" i="2"/>
  <c r="H263" i="2" s="1"/>
  <c r="H262" i="2"/>
  <c r="F262" i="2"/>
  <c r="H261" i="2"/>
  <c r="F261" i="2"/>
  <c r="F260" i="2"/>
  <c r="H260" i="2" s="1"/>
  <c r="H259" i="2"/>
  <c r="F259" i="2"/>
  <c r="H254" i="2"/>
  <c r="H253" i="2"/>
  <c r="H252" i="2"/>
  <c r="H251" i="2"/>
  <c r="F250" i="2"/>
  <c r="H250" i="2" s="1"/>
  <c r="H249" i="2"/>
  <c r="F249" i="2"/>
  <c r="F248" i="2"/>
  <c r="H248" i="2" s="1"/>
  <c r="H247" i="2"/>
  <c r="F247" i="2"/>
  <c r="H246" i="2"/>
  <c r="F245" i="2"/>
  <c r="H245" i="2" s="1"/>
  <c r="H244" i="2"/>
  <c r="F244" i="2"/>
  <c r="H243" i="2"/>
  <c r="F243" i="2"/>
  <c r="F242" i="2"/>
  <c r="H242" i="2" s="1"/>
  <c r="H241" i="2"/>
  <c r="F241" i="2"/>
  <c r="F240" i="2"/>
  <c r="H240" i="2" s="1"/>
  <c r="F239" i="2"/>
  <c r="H239" i="2" s="1"/>
  <c r="H238" i="2"/>
  <c r="F238" i="2"/>
  <c r="H237" i="2"/>
  <c r="H236" i="2"/>
  <c r="F236" i="2"/>
  <c r="F235" i="2"/>
  <c r="H235" i="2" s="1"/>
  <c r="H234" i="2"/>
  <c r="F234" i="2"/>
  <c r="H233" i="2"/>
  <c r="F232" i="2"/>
  <c r="H232" i="2" s="1"/>
  <c r="H231" i="2"/>
  <c r="F231" i="2"/>
  <c r="H230" i="2"/>
  <c r="F230" i="2"/>
  <c r="F229" i="2"/>
  <c r="H229" i="2" s="1"/>
  <c r="H228" i="2"/>
  <c r="F228" i="2"/>
  <c r="F227" i="2"/>
  <c r="H227" i="2" s="1"/>
  <c r="F226" i="2"/>
  <c r="H226" i="2" s="1"/>
  <c r="H225" i="2"/>
  <c r="F225" i="2"/>
  <c r="H224" i="2"/>
  <c r="F224" i="2"/>
  <c r="F223" i="2"/>
  <c r="H223" i="2" s="1"/>
  <c r="H218" i="2"/>
  <c r="H217" i="2"/>
  <c r="H216" i="2"/>
  <c r="H215" i="2"/>
  <c r="F214" i="2"/>
  <c r="H214" i="2" s="1"/>
  <c r="F213" i="2"/>
  <c r="H213" i="2" s="1"/>
  <c r="H212" i="2"/>
  <c r="F212" i="2"/>
  <c r="F211" i="2"/>
  <c r="H211" i="2" s="1"/>
  <c r="H210" i="2"/>
  <c r="F209" i="2"/>
  <c r="H209" i="2" s="1"/>
  <c r="F208" i="2"/>
  <c r="H208" i="2" s="1"/>
  <c r="H207" i="2"/>
  <c r="F207" i="2"/>
  <c r="H206" i="2"/>
  <c r="F206" i="2"/>
  <c r="F205" i="2"/>
  <c r="H205" i="2" s="1"/>
  <c r="H204" i="2"/>
  <c r="F204" i="2"/>
  <c r="F203" i="2"/>
  <c r="H203" i="2" s="1"/>
  <c r="F202" i="2"/>
  <c r="H202" i="2" s="1"/>
  <c r="H201" i="2"/>
  <c r="F200" i="2"/>
  <c r="H200" i="2" s="1"/>
  <c r="H199" i="2"/>
  <c r="F199" i="2"/>
  <c r="F198" i="2"/>
  <c r="H198" i="2" s="1"/>
  <c r="H197" i="2"/>
  <c r="F196" i="2"/>
  <c r="H196" i="2" s="1"/>
  <c r="F195" i="2"/>
  <c r="H195" i="2" s="1"/>
  <c r="H194" i="2"/>
  <c r="F194" i="2"/>
  <c r="H193" i="2"/>
  <c r="F193" i="2"/>
  <c r="F192" i="2"/>
  <c r="H192" i="2" s="1"/>
  <c r="H191" i="2"/>
  <c r="F191" i="2"/>
  <c r="F190" i="2"/>
  <c r="H190" i="2" s="1"/>
  <c r="F189" i="2"/>
  <c r="H189" i="2" s="1"/>
  <c r="H188" i="2"/>
  <c r="F188" i="2"/>
  <c r="H187" i="2"/>
  <c r="F187" i="2"/>
  <c r="H182" i="2"/>
  <c r="H181" i="2"/>
  <c r="H180" i="2"/>
  <c r="H179" i="2"/>
  <c r="F178" i="2"/>
  <c r="H178" i="2" s="1"/>
  <c r="F177" i="2"/>
  <c r="H177" i="2" s="1"/>
  <c r="F176" i="2"/>
  <c r="H176" i="2" s="1"/>
  <c r="H175" i="2"/>
  <c r="F175" i="2"/>
  <c r="H174" i="2"/>
  <c r="H173" i="2"/>
  <c r="F173" i="2"/>
  <c r="F172" i="2"/>
  <c r="H172" i="2" s="1"/>
  <c r="F171" i="2"/>
  <c r="H171" i="2" s="1"/>
  <c r="H170" i="2"/>
  <c r="F170" i="2"/>
  <c r="H169" i="2"/>
  <c r="F169" i="2"/>
  <c r="F168" i="2"/>
  <c r="H168" i="2" s="1"/>
  <c r="H167" i="2"/>
  <c r="F167" i="2"/>
  <c r="F166" i="2"/>
  <c r="H166" i="2" s="1"/>
  <c r="H165" i="2"/>
  <c r="F164" i="2"/>
  <c r="H164" i="2" s="1"/>
  <c r="F163" i="2"/>
  <c r="H163" i="2" s="1"/>
  <c r="H162" i="2"/>
  <c r="F162" i="2"/>
  <c r="H161" i="2"/>
  <c r="H160" i="2"/>
  <c r="F160" i="2"/>
  <c r="F159" i="2"/>
  <c r="H159" i="2" s="1"/>
  <c r="F158" i="2"/>
  <c r="H158" i="2" s="1"/>
  <c r="H157" i="2"/>
  <c r="F157" i="2"/>
  <c r="H156" i="2"/>
  <c r="F156" i="2"/>
  <c r="F155" i="2"/>
  <c r="H155" i="2" s="1"/>
  <c r="H154" i="2"/>
  <c r="F154" i="2"/>
  <c r="F153" i="2"/>
  <c r="H153" i="2" s="1"/>
  <c r="F152" i="2"/>
  <c r="H152" i="2" s="1"/>
  <c r="H151" i="2"/>
  <c r="F151" i="2"/>
  <c r="H146" i="2"/>
  <c r="H145" i="2"/>
  <c r="H144" i="2"/>
  <c r="H143" i="2"/>
  <c r="H142" i="2"/>
  <c r="F142" i="2"/>
  <c r="F141" i="2"/>
  <c r="H141" i="2" s="1"/>
  <c r="F140" i="2"/>
  <c r="H140" i="2" s="1"/>
  <c r="F139" i="2"/>
  <c r="H139" i="2" s="1"/>
  <c r="H138" i="2"/>
  <c r="F137" i="2"/>
  <c r="H137" i="2" s="1"/>
  <c r="H136" i="2"/>
  <c r="F136" i="2"/>
  <c r="F135" i="2"/>
  <c r="H135" i="2" s="1"/>
  <c r="F134" i="2"/>
  <c r="H134" i="2" s="1"/>
  <c r="H133" i="2"/>
  <c r="F133" i="2"/>
  <c r="H132" i="2"/>
  <c r="F132" i="2"/>
  <c r="F131" i="2"/>
  <c r="H131" i="2" s="1"/>
  <c r="H130" i="2"/>
  <c r="F130" i="2"/>
  <c r="H129" i="2"/>
  <c r="F128" i="2"/>
  <c r="H128" i="2" s="1"/>
  <c r="F127" i="2"/>
  <c r="H127" i="2" s="1"/>
  <c r="F126" i="2"/>
  <c r="H126" i="2" s="1"/>
  <c r="H125" i="2"/>
  <c r="F124" i="2"/>
  <c r="H124" i="2" s="1"/>
  <c r="H123" i="2"/>
  <c r="F123" i="2"/>
  <c r="F122" i="2"/>
  <c r="H122" i="2" s="1"/>
  <c r="F121" i="2"/>
  <c r="H121" i="2" s="1"/>
  <c r="H120" i="2"/>
  <c r="F120" i="2"/>
  <c r="H119" i="2"/>
  <c r="F119" i="2"/>
  <c r="F118" i="2"/>
  <c r="H118" i="2" s="1"/>
  <c r="H117" i="2"/>
  <c r="F117" i="2"/>
  <c r="F116" i="2"/>
  <c r="H116" i="2" s="1"/>
  <c r="F115" i="2"/>
  <c r="H115" i="2" s="1"/>
  <c r="H110" i="2"/>
  <c r="H109" i="2"/>
  <c r="H108" i="2"/>
  <c r="H107" i="2"/>
  <c r="F106" i="2"/>
  <c r="H106" i="2" s="1"/>
  <c r="H105" i="2"/>
  <c r="F105" i="2"/>
  <c r="F104" i="2"/>
  <c r="H104" i="2" s="1"/>
  <c r="F103" i="2"/>
  <c r="H103" i="2" s="1"/>
  <c r="H102" i="2"/>
  <c r="H101" i="2"/>
  <c r="F101" i="2"/>
  <c r="F100" i="2"/>
  <c r="H100" i="2" s="1"/>
  <c r="H99" i="2"/>
  <c r="F99" i="2"/>
  <c r="F98" i="2"/>
  <c r="H98" i="2" s="1"/>
  <c r="F97" i="2"/>
  <c r="H97" i="2" s="1"/>
  <c r="H96" i="2"/>
  <c r="F96" i="2"/>
  <c r="H95" i="2"/>
  <c r="F95" i="2"/>
  <c r="F94" i="2"/>
  <c r="H94" i="2" s="1"/>
  <c r="H93" i="2"/>
  <c r="H92" i="2"/>
  <c r="F92" i="2"/>
  <c r="F91" i="2"/>
  <c r="H91" i="2" s="1"/>
  <c r="F90" i="2"/>
  <c r="H90" i="2" s="1"/>
  <c r="H89" i="2"/>
  <c r="H88" i="2"/>
  <c r="F88" i="2"/>
  <c r="F87" i="2"/>
  <c r="H87" i="2" s="1"/>
  <c r="H86" i="2"/>
  <c r="F86" i="2"/>
  <c r="F85" i="2"/>
  <c r="H85" i="2" s="1"/>
  <c r="F84" i="2"/>
  <c r="H84" i="2" s="1"/>
  <c r="H83" i="2"/>
  <c r="F83" i="2"/>
  <c r="H82" i="2"/>
  <c r="F82" i="2"/>
  <c r="F81" i="2"/>
  <c r="H81" i="2" s="1"/>
  <c r="H80" i="2"/>
  <c r="F80" i="2"/>
  <c r="H79" i="2"/>
  <c r="F79" i="2"/>
  <c r="H74" i="2"/>
  <c r="H73" i="2"/>
  <c r="H72" i="2"/>
  <c r="H71" i="2"/>
  <c r="F70" i="2"/>
  <c r="H70" i="2" s="1"/>
  <c r="F69" i="2"/>
  <c r="H69" i="2" s="1"/>
  <c r="H68" i="2"/>
  <c r="F68" i="2"/>
  <c r="F67" i="2"/>
  <c r="H67" i="2" s="1"/>
  <c r="H66" i="2"/>
  <c r="H65" i="2"/>
  <c r="F65" i="2"/>
  <c r="H64" i="2"/>
  <c r="F64" i="2"/>
  <c r="F63" i="2"/>
  <c r="H63" i="2" s="1"/>
  <c r="H62" i="2"/>
  <c r="F62" i="2"/>
  <c r="F61" i="2"/>
  <c r="H61" i="2" s="1"/>
  <c r="F60" i="2"/>
  <c r="H60" i="2" s="1"/>
  <c r="H59" i="2"/>
  <c r="F59" i="2"/>
  <c r="H58" i="2"/>
  <c r="F58" i="2"/>
  <c r="H57" i="2"/>
  <c r="F56" i="2"/>
  <c r="H56" i="2" s="1"/>
  <c r="H55" i="2"/>
  <c r="F55" i="2"/>
  <c r="F54" i="2"/>
  <c r="H54" i="2" s="1"/>
  <c r="H53" i="2"/>
  <c r="H52" i="2"/>
  <c r="F52" i="2"/>
  <c r="H51" i="2"/>
  <c r="F51" i="2"/>
  <c r="F50" i="2"/>
  <c r="H50" i="2" s="1"/>
  <c r="H49" i="2"/>
  <c r="F49" i="2"/>
  <c r="F48" i="2"/>
  <c r="H48" i="2" s="1"/>
  <c r="F47" i="2"/>
  <c r="H47" i="2" s="1"/>
  <c r="H46" i="2"/>
  <c r="F46" i="2"/>
  <c r="H45" i="2"/>
  <c r="F45" i="2"/>
  <c r="F44" i="2"/>
  <c r="H44" i="2" s="1"/>
  <c r="H43" i="2"/>
  <c r="F43" i="2"/>
  <c r="H38" i="2"/>
  <c r="H37" i="2"/>
  <c r="H36" i="2"/>
  <c r="H35" i="2"/>
  <c r="F34" i="2"/>
  <c r="H34" i="2" s="1"/>
  <c r="F33" i="2"/>
  <c r="H33" i="2" s="1"/>
  <c r="F32" i="2"/>
  <c r="H32" i="2" s="1"/>
  <c r="H31" i="2"/>
  <c r="F31" i="2"/>
  <c r="H30" i="2"/>
  <c r="F29" i="2"/>
  <c r="H29" i="2" s="1"/>
  <c r="H28" i="2"/>
  <c r="F28" i="2"/>
  <c r="H27" i="2"/>
  <c r="F27" i="2"/>
  <c r="F26" i="2"/>
  <c r="H26" i="2" s="1"/>
  <c r="H25" i="2"/>
  <c r="F25" i="2"/>
  <c r="F24" i="2"/>
  <c r="H24" i="2" s="1"/>
  <c r="F23" i="2"/>
  <c r="H23" i="2" s="1"/>
  <c r="H22" i="2"/>
  <c r="F22" i="2"/>
  <c r="H21" i="2"/>
  <c r="F20" i="2"/>
  <c r="H20" i="2" s="1"/>
  <c r="F19" i="2"/>
  <c r="H19" i="2" s="1"/>
  <c r="H18" i="2"/>
  <c r="F18" i="2"/>
  <c r="H17" i="2"/>
  <c r="F16" i="2"/>
  <c r="H16" i="2" s="1"/>
  <c r="H15" i="2"/>
  <c r="F15" i="2"/>
  <c r="H14" i="2"/>
  <c r="F14" i="2"/>
  <c r="F13" i="2"/>
  <c r="H13" i="2" s="1"/>
  <c r="H12" i="2"/>
  <c r="F12" i="2"/>
  <c r="F11" i="2"/>
  <c r="H11" i="2" s="1"/>
  <c r="F10" i="2"/>
  <c r="H10" i="2" s="1"/>
  <c r="H9" i="2"/>
  <c r="F9" i="2"/>
  <c r="H8" i="2"/>
  <c r="F8" i="2"/>
  <c r="H7" i="2"/>
  <c r="H363" i="2" l="1"/>
  <c r="F378" i="2" s="1"/>
  <c r="H291" i="2"/>
  <c r="F376" i="2" s="1"/>
  <c r="H111" i="2"/>
  <c r="F371" i="2" s="1"/>
  <c r="H255" i="2"/>
  <c r="F375" i="2" s="1"/>
  <c r="H39" i="2"/>
  <c r="F369" i="2" s="1"/>
  <c r="H147" i="2"/>
  <c r="F372" i="2" s="1"/>
  <c r="H183" i="2"/>
  <c r="F373" i="2" s="1"/>
  <c r="H75" i="2"/>
  <c r="F370" i="2" s="1"/>
  <c r="H219" i="2"/>
  <c r="F374" i="2" s="1"/>
  <c r="H327" i="2"/>
  <c r="F377" i="2" s="1"/>
  <c r="F379" i="2" l="1"/>
</calcChain>
</file>

<file path=xl/sharedStrings.xml><?xml version="1.0" encoding="utf-8"?>
<sst xmlns="http://schemas.openxmlformats.org/spreadsheetml/2006/main" count="1696" uniqueCount="121">
  <si>
    <t>PLANEJAMENTO AGRICULTURA FAMILIAR 2026/2027</t>
  </si>
  <si>
    <t>VALORES POR MICRORREGIÃO</t>
  </si>
  <si>
    <t>1 - METROPOLITANA</t>
  </si>
  <si>
    <t xml:space="preserve">MUNICIPIOS </t>
  </si>
  <si>
    <t>ITEM</t>
  </si>
  <si>
    <t>CÓDIGO SIADES</t>
  </si>
  <si>
    <t>PRODUTO</t>
  </si>
  <si>
    <t>UNIDADE MEDIDA</t>
  </si>
  <si>
    <t>QUANTIDADE ANUAL</t>
  </si>
  <si>
    <t>VALOR UNITÁRIO</t>
  </si>
  <si>
    <t>VALOR TOTAL</t>
  </si>
  <si>
    <t>Cariacica, Fundão,Guarapari,Serra,Viana,Vila Velha,Vitória</t>
  </si>
  <si>
    <t>Colorífico</t>
  </si>
  <si>
    <t>Kg</t>
  </si>
  <si>
    <t xml:space="preserve">Farinha de mandioca </t>
  </si>
  <si>
    <t>Feijão carioca</t>
  </si>
  <si>
    <t>Feijão preto</t>
  </si>
  <si>
    <t>Feijão vermelho</t>
  </si>
  <si>
    <t>Fubá</t>
  </si>
  <si>
    <t>Pó de Café</t>
  </si>
  <si>
    <t>Mel</t>
  </si>
  <si>
    <t>Mariola sem açúcar</t>
  </si>
  <si>
    <t>Filé de Tilápia</t>
  </si>
  <si>
    <t>Hamburguer de Tilápia com Fécula de Batata</t>
  </si>
  <si>
    <t>Iogurte de Coco</t>
  </si>
  <si>
    <t>L</t>
  </si>
  <si>
    <t>Iogurte Morango</t>
  </si>
  <si>
    <t>Leite UHT</t>
  </si>
  <si>
    <t>Biscoito Caseiro Doce</t>
  </si>
  <si>
    <t>Polpa de Abacaxi</t>
  </si>
  <si>
    <t>Polpa de Acerola</t>
  </si>
  <si>
    <t>Polpa de Goiaba</t>
  </si>
  <si>
    <t>Polpa de Graviola</t>
  </si>
  <si>
    <t>Polpa de Morango</t>
  </si>
  <si>
    <t>Polpa de Maracujá</t>
  </si>
  <si>
    <t>Polpa de Manga</t>
  </si>
  <si>
    <t>Polpa de Cajá</t>
  </si>
  <si>
    <t>Polpa Jussara</t>
  </si>
  <si>
    <t>Polpa de Cajú</t>
  </si>
  <si>
    <t>Requeijão Cremoso</t>
  </si>
  <si>
    <t>Manteiga</t>
  </si>
  <si>
    <t>Queijo Muçarela</t>
  </si>
  <si>
    <t xml:space="preserve">Queijo Minas Frescal </t>
  </si>
  <si>
    <t>Pão Caseiro</t>
  </si>
  <si>
    <t>Pão Doce/Hot dog</t>
  </si>
  <si>
    <t>Farinha de Mandioca Amarela</t>
  </si>
  <si>
    <t>TOTAL</t>
  </si>
  <si>
    <t>2 - CENTRAL SERRANA</t>
  </si>
  <si>
    <t>Itaguaçu,Itarana,Santa Leopoldina,Santa Maria de Jetibá,Santa Teresa</t>
  </si>
  <si>
    <t>3 - SUDOESTE SERRANA</t>
  </si>
  <si>
    <t>Afonso Cláudio,Brejetuba,Conceição do Castelo,Domingos Martins,Laranja da Terra,Marechal Floriano,Venda Nova do Imigrante</t>
  </si>
  <si>
    <t>4 - LITORAL SUL</t>
  </si>
  <si>
    <t>Alfredo Chaves,Anchieta,Iconha,Itapemirim,Marataizes,Piuma,Presidente Kennedy e Rio Novo do Sul</t>
  </si>
  <si>
    <t>5- CENTRAL SUL</t>
  </si>
  <si>
    <t>Apiacá,Atilio Vivacqua,Cachoeiro de Itapemirim,Castelo,Jeronimo Monteiro,Mimoso do Sul, Muqui,Vargem Alta</t>
  </si>
  <si>
    <t>6 - CAPARAÓ</t>
  </si>
  <si>
    <t>Alegre,Bom Jesus do Norte,Divino São Lourenço,Dores do Rio Preto, Guaçuí,Ibatiba,Ibitirama,Irupi,Iúna,Muniz Freire,São José do Calçado</t>
  </si>
  <si>
    <t>7 - RIO DOCE</t>
  </si>
  <si>
    <t>Aracruz,Ibiraçu,João Neiva,Linhares,Rio Bananal,Sooretama</t>
  </si>
  <si>
    <t>8 - CENTRO OESTE</t>
  </si>
  <si>
    <t>Alto Rio Novo,Baixo Guandu,Colatina,Governador Linderberg,Marilândia,Pancas,São Domingos do Norte,São Gabriel da Palha,São Roque do Canaã,Vila Valerio</t>
  </si>
  <si>
    <t>9 - NORDESTE</t>
  </si>
  <si>
    <t>Boa Esperança,Conceição da Barra,Jaguaré,Montanha,Mucurici,Pedro Canário,Pinheiros,Ponto Belo e São Mateus</t>
  </si>
  <si>
    <t>10 - NOROESTE</t>
  </si>
  <si>
    <t>Agua Doce do Norte,Águia Branca,Barra de São Francisco,Ecoporanga,Mantenopolis,Nova Venecia,Vila Pavão</t>
  </si>
  <si>
    <t>* A quantidade anual dos itens foi obtida por meio da média de alunos, da incidência no mês e da per capita por produto.</t>
  </si>
  <si>
    <t>CONSOLIDAÇÃO FINAL</t>
  </si>
  <si>
    <t>MICRORREGIÃO</t>
  </si>
  <si>
    <t>METROPOLITANA</t>
  </si>
  <si>
    <t>CENTRAL SERRANA</t>
  </si>
  <si>
    <t>SUDOESTE SERRANA</t>
  </si>
  <si>
    <t>LITORAL SUL</t>
  </si>
  <si>
    <t>CENTRAL SUL</t>
  </si>
  <si>
    <t>CAPARAÓ</t>
  </si>
  <si>
    <t>RIO DOCE</t>
  </si>
  <si>
    <t>CENTRO OESTE</t>
  </si>
  <si>
    <t>NORDESTE</t>
  </si>
  <si>
    <t>NOROESTE</t>
  </si>
  <si>
    <t>CODIGO SIADES</t>
  </si>
  <si>
    <t>Abóbora (Kg)</t>
  </si>
  <si>
    <t>Brócolis (Kg)</t>
  </si>
  <si>
    <t>Couve Flor (Kg)</t>
  </si>
  <si>
    <t>Acelga (kg)</t>
  </si>
  <si>
    <t>Espinafre (Kg)</t>
  </si>
  <si>
    <t>Abobrinha (Kg)</t>
  </si>
  <si>
    <t>Aipim In Natura (Kg)</t>
  </si>
  <si>
    <t>Alface (Kg)</t>
  </si>
  <si>
    <t>Alho in natura</t>
  </si>
  <si>
    <t>Salsa (Kg)</t>
  </si>
  <si>
    <t>Coentro (Kg)</t>
  </si>
  <si>
    <t>Cebolinha (Kg)</t>
  </si>
  <si>
    <t>Couve (Kg)</t>
  </si>
  <si>
    <t>Banana da Terra (Kg)</t>
  </si>
  <si>
    <t>Banana Prata (Kg)</t>
  </si>
  <si>
    <t>Batata Doce (Kg)</t>
  </si>
  <si>
    <t>Batata Inglesa (Kg)</t>
  </si>
  <si>
    <t>Beterraba (Kg)</t>
  </si>
  <si>
    <t>Cebola (Kg)</t>
  </si>
  <si>
    <t>Cenoura (Kg)</t>
  </si>
  <si>
    <t>Chuchu (Kg)</t>
  </si>
  <si>
    <t>Inhame (Kg)</t>
  </si>
  <si>
    <t>Laranja Pêra (Kg)</t>
  </si>
  <si>
    <t>Maçã (Kg)</t>
  </si>
  <si>
    <t>Mexerica Pokam (Kg)</t>
  </si>
  <si>
    <t>Ovo (Crivo)</t>
  </si>
  <si>
    <t>CRIVO</t>
  </si>
  <si>
    <t>Repolho Verde (Kg)</t>
  </si>
  <si>
    <t>Repolho Roxo (Kg)</t>
  </si>
  <si>
    <t>Tomate (Kg)</t>
  </si>
  <si>
    <t>Pimentão (Kg)</t>
  </si>
  <si>
    <t>Pepino (Kg)</t>
  </si>
  <si>
    <t>Vagem (Kg)</t>
  </si>
  <si>
    <t>Melancia (Kg)</t>
  </si>
  <si>
    <t>Abacate (kg)</t>
  </si>
  <si>
    <t>Mamão Papaya (Kg)</t>
  </si>
  <si>
    <t>Goiaba (Kg)</t>
  </si>
  <si>
    <t>Abacaxi (Kg)</t>
  </si>
  <si>
    <t>Milho Verde (kg)</t>
  </si>
  <si>
    <t>Limão (kg)</t>
  </si>
  <si>
    <t>Hortelã</t>
  </si>
  <si>
    <t>ANEXO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</si>
</sst>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name val="Arial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Continuous"/>
    </xf>
    <xf numFmtId="0" fontId="2" fillId="2" borderId="2" xfId="1" applyFont="1" applyFill="1" applyBorder="1" applyAlignment="1">
      <alignment horizontal="centerContinuous"/>
    </xf>
    <xf numFmtId="0" fontId="4" fillId="2" borderId="2" xfId="1" applyFont="1" applyFill="1" applyBorder="1" applyAlignment="1">
      <alignment horizontal="centerContinuous"/>
    </xf>
    <xf numFmtId="0" fontId="2" fillId="2" borderId="3" xfId="1" applyFont="1" applyFill="1" applyBorder="1" applyAlignment="1">
      <alignment horizontal="centerContinuous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5" fillId="0" borderId="8" xfId="1" applyFont="1" applyBorder="1"/>
    <xf numFmtId="0" fontId="6" fillId="0" borderId="8" xfId="1" applyFont="1" applyBorder="1" applyAlignment="1">
      <alignment horizontal="center"/>
    </xf>
    <xf numFmtId="44" fontId="7" fillId="0" borderId="8" xfId="1" applyNumberFormat="1" applyFont="1" applyBorder="1" applyAlignment="1">
      <alignment horizontal="center" vertical="center" wrapText="1"/>
    </xf>
    <xf numFmtId="44" fontId="1" fillId="0" borderId="10" xfId="1" applyNumberFormat="1" applyBorder="1" applyAlignment="1">
      <alignment horizontal="center"/>
    </xf>
    <xf numFmtId="0" fontId="7" fillId="0" borderId="8" xfId="1" applyFont="1" applyBorder="1" applyAlignment="1">
      <alignment horizontal="center" vertical="center" wrapText="1"/>
    </xf>
    <xf numFmtId="44" fontId="1" fillId="0" borderId="12" xfId="1" applyNumberFormat="1" applyBorder="1" applyAlignment="1">
      <alignment horizontal="center"/>
    </xf>
    <xf numFmtId="44" fontId="2" fillId="0" borderId="14" xfId="1" applyNumberFormat="1" applyFont="1" applyBorder="1"/>
    <xf numFmtId="0" fontId="8" fillId="0" borderId="0" xfId="1" applyFont="1"/>
    <xf numFmtId="44" fontId="1" fillId="0" borderId="10" xfId="1" applyNumberFormat="1" applyBorder="1"/>
    <xf numFmtId="44" fontId="1" fillId="0" borderId="12" xfId="1" applyNumberFormat="1" applyBorder="1"/>
    <xf numFmtId="0" fontId="2" fillId="2" borderId="14" xfId="1" applyFont="1" applyFill="1" applyBorder="1" applyAlignment="1">
      <alignment horizontal="centerContinuous"/>
    </xf>
    <xf numFmtId="44" fontId="2" fillId="0" borderId="14" xfId="2" applyFont="1" applyBorder="1" applyAlignment="1">
      <alignment horizontal="center" vertical="center"/>
    </xf>
    <xf numFmtId="44" fontId="2" fillId="0" borderId="14" xfId="1" applyNumberFormat="1" applyFont="1" applyBorder="1" applyAlignment="1">
      <alignment horizontal="center" vertical="center"/>
    </xf>
    <xf numFmtId="0" fontId="1" fillId="2" borderId="2" xfId="1" applyFill="1" applyBorder="1" applyAlignment="1">
      <alignment horizontal="centerContinuous"/>
    </xf>
    <xf numFmtId="0" fontId="8" fillId="2" borderId="2" xfId="1" applyFont="1" applyFill="1" applyBorder="1" applyAlignment="1">
      <alignment horizontal="centerContinuous"/>
    </xf>
    <xf numFmtId="0" fontId="1" fillId="2" borderId="3" xfId="1" applyFill="1" applyBorder="1" applyAlignment="1">
      <alignment horizontal="centerContinuous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44" fontId="1" fillId="0" borderId="19" xfId="1" applyNumberFormat="1" applyBorder="1"/>
    <xf numFmtId="44" fontId="2" fillId="0" borderId="0" xfId="1" applyNumberFormat="1" applyFont="1"/>
    <xf numFmtId="0" fontId="1" fillId="0" borderId="20" xfId="1" applyBorder="1"/>
    <xf numFmtId="0" fontId="1" fillId="0" borderId="21" xfId="1" applyBorder="1"/>
    <xf numFmtId="0" fontId="8" fillId="0" borderId="21" xfId="1" applyFont="1" applyBorder="1"/>
    <xf numFmtId="0" fontId="1" fillId="0" borderId="22" xfId="1" applyBorder="1"/>
    <xf numFmtId="0" fontId="4" fillId="0" borderId="0" xfId="1" applyFont="1"/>
    <xf numFmtId="0" fontId="2" fillId="0" borderId="14" xfId="1" applyFont="1" applyBorder="1" applyAlignment="1">
      <alignment horizontal="center"/>
    </xf>
    <xf numFmtId="0" fontId="1" fillId="0" borderId="18" xfId="1" applyBorder="1"/>
    <xf numFmtId="44" fontId="1" fillId="0" borderId="9" xfId="1" applyNumberFormat="1" applyBorder="1"/>
    <xf numFmtId="0" fontId="1" fillId="0" borderId="8" xfId="1" applyBorder="1"/>
    <xf numFmtId="44" fontId="1" fillId="0" borderId="8" xfId="1" applyNumberFormat="1" applyBorder="1"/>
    <xf numFmtId="0" fontId="1" fillId="0" borderId="23" xfId="1" applyBorder="1"/>
    <xf numFmtId="44" fontId="1" fillId="0" borderId="23" xfId="1" applyNumberFormat="1" applyBorder="1"/>
    <xf numFmtId="0" fontId="2" fillId="0" borderId="24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7" xfId="1" applyBorder="1" applyAlignment="1">
      <alignment horizontal="center"/>
    </xf>
    <xf numFmtId="1" fontId="7" fillId="0" borderId="18" xfId="1" applyNumberFormat="1" applyFont="1" applyBorder="1" applyAlignment="1">
      <alignment horizontal="center" vertical="top" wrapText="1"/>
    </xf>
    <xf numFmtId="0" fontId="6" fillId="0" borderId="18" xfId="1" applyFont="1" applyBorder="1" applyAlignment="1">
      <alignment horizontal="center"/>
    </xf>
    <xf numFmtId="44" fontId="7" fillId="0" borderId="18" xfId="1" applyNumberFormat="1" applyFont="1" applyBorder="1" applyAlignment="1">
      <alignment horizontal="center" vertical="center" wrapText="1"/>
    </xf>
    <xf numFmtId="44" fontId="1" fillId="0" borderId="19" xfId="1" applyNumberFormat="1" applyBorder="1" applyAlignment="1">
      <alignment horizontal="center"/>
    </xf>
    <xf numFmtId="1" fontId="7" fillId="0" borderId="8" xfId="1" applyNumberFormat="1" applyFont="1" applyBorder="1" applyAlignment="1">
      <alignment horizontal="center" vertical="top" wrapText="1"/>
    </xf>
    <xf numFmtId="3" fontId="7" fillId="0" borderId="8" xfId="1" applyNumberFormat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/>
    </xf>
    <xf numFmtId="44" fontId="7" fillId="0" borderId="31" xfId="1" applyNumberFormat="1" applyFont="1" applyBorder="1" applyAlignment="1">
      <alignment horizontal="center" vertical="center" wrapText="1"/>
    </xf>
    <xf numFmtId="44" fontId="1" fillId="0" borderId="32" xfId="1" applyNumberFormat="1" applyBorder="1" applyAlignment="1">
      <alignment horizontal="center"/>
    </xf>
    <xf numFmtId="44" fontId="2" fillId="0" borderId="29" xfId="1" applyNumberFormat="1" applyFont="1" applyBorder="1"/>
    <xf numFmtId="44" fontId="7" fillId="0" borderId="35" xfId="1" applyNumberFormat="1" applyFont="1" applyBorder="1" applyAlignment="1">
      <alignment horizontal="center" vertical="center" wrapText="1"/>
    </xf>
    <xf numFmtId="44" fontId="0" fillId="0" borderId="0" xfId="2" applyFont="1" applyFill="1" applyBorder="1"/>
    <xf numFmtId="44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44" fontId="2" fillId="0" borderId="2" xfId="2" applyFont="1" applyBorder="1" applyAlignment="1">
      <alignment horizontal="center" vertical="center"/>
    </xf>
    <xf numFmtId="44" fontId="2" fillId="0" borderId="3" xfId="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34" xfId="1" applyFont="1" applyBorder="1" applyAlignment="1">
      <alignment horizontal="center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1" fillId="0" borderId="9" xfId="1" applyBorder="1" applyAlignment="1" applyProtection="1">
      <alignment horizontal="center"/>
      <protection locked="0"/>
    </xf>
    <xf numFmtId="0" fontId="1" fillId="0" borderId="8" xfId="1" applyBorder="1" applyAlignment="1" applyProtection="1">
      <alignment horizontal="center"/>
      <protection locked="0"/>
    </xf>
    <xf numFmtId="0" fontId="1" fillId="0" borderId="18" xfId="1" applyBorder="1" applyAlignment="1" applyProtection="1">
      <alignment horizontal="center"/>
      <protection locked="0"/>
    </xf>
  </cellXfs>
  <cellStyles count="3">
    <cellStyle name="Moeda 2" xfId="2" xr:uid="{B7CC86E4-3A88-400B-B433-4D83AD2F9814}"/>
    <cellStyle name="Normal" xfId="0" builtinId="0"/>
    <cellStyle name="Normal 2" xfId="1" xr:uid="{65E5DEDC-2062-4E3B-8052-2766D4B36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DFF3-9DDD-40F2-85F5-2716254D7BA5}">
  <sheetPr>
    <pageSetUpPr fitToPage="1"/>
  </sheetPr>
  <dimension ref="A1:H379"/>
  <sheetViews>
    <sheetView tabSelected="1" zoomScaleNormal="100" zoomScaleSheetLayoutView="80" workbookViewId="0">
      <pane ySplit="3" topLeftCell="A4" activePane="bottomLeft" state="frozen"/>
      <selection activeCell="M351" sqref="M351"/>
      <selection pane="bottomLeft" activeCell="C372" sqref="C372"/>
    </sheetView>
  </sheetViews>
  <sheetFormatPr defaultRowHeight="12.75" x14ac:dyDescent="0.2"/>
  <cols>
    <col min="1" max="1" width="25.7109375" style="1" customWidth="1"/>
    <col min="2" max="2" width="6.28515625" style="1" customWidth="1"/>
    <col min="3" max="3" width="17.140625" style="1" bestFit="1" customWidth="1"/>
    <col min="4" max="4" width="39.28515625" style="1" bestFit="1" customWidth="1"/>
    <col min="5" max="5" width="18.7109375" style="1" bestFit="1" customWidth="1"/>
    <col min="6" max="6" width="23.7109375" style="1" customWidth="1"/>
    <col min="7" max="7" width="20.140625" style="21" customWidth="1"/>
    <col min="8" max="8" width="24.85546875" style="1" customWidth="1"/>
    <col min="9" max="16384" width="9.140625" style="1"/>
  </cols>
  <sheetData>
    <row r="1" spans="1:8" ht="13.5" thickBot="1" x14ac:dyDescent="0.25">
      <c r="A1" s="82" t="s">
        <v>120</v>
      </c>
      <c r="B1" s="83"/>
      <c r="C1" s="83"/>
      <c r="D1" s="83"/>
      <c r="E1" s="83"/>
      <c r="F1" s="83"/>
      <c r="G1" s="83"/>
      <c r="H1" s="84"/>
    </row>
    <row r="2" spans="1:8" ht="12.75" customHeight="1" thickBot="1" x14ac:dyDescent="0.25">
      <c r="A2" s="85" t="s">
        <v>0</v>
      </c>
      <c r="B2" s="86"/>
      <c r="C2" s="86"/>
      <c r="D2" s="86"/>
      <c r="E2" s="86"/>
      <c r="F2" s="86"/>
      <c r="G2" s="86"/>
      <c r="H2" s="87"/>
    </row>
    <row r="3" spans="1:8" ht="13.5" thickBot="1" x14ac:dyDescent="0.25">
      <c r="A3" s="67" t="s">
        <v>1</v>
      </c>
      <c r="B3" s="68"/>
      <c r="C3" s="68"/>
      <c r="D3" s="68"/>
      <c r="E3" s="68"/>
      <c r="F3" s="68"/>
      <c r="G3" s="68"/>
      <c r="H3" s="69"/>
    </row>
    <row r="4" spans="1:8" ht="13.5" thickBot="1" x14ac:dyDescent="0.25">
      <c r="A4" s="3"/>
      <c r="B4" s="3"/>
      <c r="C4" s="3"/>
      <c r="D4" s="3"/>
      <c r="E4" s="3"/>
      <c r="F4" s="3"/>
      <c r="G4" s="4"/>
      <c r="H4" s="3"/>
    </row>
    <row r="5" spans="1:8" ht="13.5" thickBot="1" x14ac:dyDescent="0.25">
      <c r="A5" s="5" t="s">
        <v>2</v>
      </c>
      <c r="B5" s="6"/>
      <c r="C5" s="6"/>
      <c r="D5" s="6"/>
      <c r="E5" s="6"/>
      <c r="F5" s="6"/>
      <c r="G5" s="7"/>
      <c r="H5" s="8"/>
    </row>
    <row r="6" spans="1:8" ht="13.5" thickBot="1" x14ac:dyDescent="0.25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2" t="s">
        <v>10</v>
      </c>
    </row>
    <row r="7" spans="1:8" x14ac:dyDescent="0.2">
      <c r="A7" s="70" t="s">
        <v>11</v>
      </c>
      <c r="B7" s="13">
        <v>1</v>
      </c>
      <c r="C7" s="13">
        <v>282769</v>
      </c>
      <c r="D7" s="14" t="s">
        <v>12</v>
      </c>
      <c r="E7" s="15" t="s">
        <v>13</v>
      </c>
      <c r="F7" s="94">
        <f>179*7</f>
        <v>1253</v>
      </c>
      <c r="G7" s="16">
        <v>28.19</v>
      </c>
      <c r="H7" s="17">
        <f>F7*G7</f>
        <v>35322.07</v>
      </c>
    </row>
    <row r="8" spans="1:8" x14ac:dyDescent="0.2">
      <c r="A8" s="71"/>
      <c r="B8" s="13">
        <v>2</v>
      </c>
      <c r="C8" s="13">
        <v>458921</v>
      </c>
      <c r="D8" s="14" t="s">
        <v>14</v>
      </c>
      <c r="E8" s="15" t="s">
        <v>13</v>
      </c>
      <c r="F8" s="95">
        <f>512*5</f>
        <v>2560</v>
      </c>
      <c r="G8" s="16">
        <v>8.98</v>
      </c>
      <c r="H8" s="19">
        <f t="shared" ref="H8:H38" si="0">F8*G8</f>
        <v>22988.800000000003</v>
      </c>
    </row>
    <row r="9" spans="1:8" x14ac:dyDescent="0.2">
      <c r="A9" s="71"/>
      <c r="B9" s="13">
        <v>3</v>
      </c>
      <c r="C9" s="13">
        <v>464553</v>
      </c>
      <c r="D9" s="14" t="s">
        <v>15</v>
      </c>
      <c r="E9" s="15" t="s">
        <v>13</v>
      </c>
      <c r="F9" s="95">
        <f>6903*9</f>
        <v>62127</v>
      </c>
      <c r="G9" s="16">
        <v>7.79</v>
      </c>
      <c r="H9" s="19">
        <f t="shared" si="0"/>
        <v>483969.33</v>
      </c>
    </row>
    <row r="10" spans="1:8" x14ac:dyDescent="0.2">
      <c r="A10" s="71"/>
      <c r="B10" s="13">
        <v>4</v>
      </c>
      <c r="C10" s="13">
        <v>464552</v>
      </c>
      <c r="D10" s="14" t="s">
        <v>16</v>
      </c>
      <c r="E10" s="15" t="s">
        <v>13</v>
      </c>
      <c r="F10" s="95">
        <f>6903*9</f>
        <v>62127</v>
      </c>
      <c r="G10" s="16">
        <v>10.09</v>
      </c>
      <c r="H10" s="19">
        <f t="shared" si="0"/>
        <v>626861.42999999993</v>
      </c>
    </row>
    <row r="11" spans="1:8" x14ac:dyDescent="0.2">
      <c r="A11" s="71"/>
      <c r="B11" s="13">
        <v>5</v>
      </c>
      <c r="C11" s="13">
        <v>464558</v>
      </c>
      <c r="D11" s="14" t="s">
        <v>17</v>
      </c>
      <c r="E11" s="15" t="s">
        <v>13</v>
      </c>
      <c r="F11" s="95">
        <f>4719*9</f>
        <v>42471</v>
      </c>
      <c r="G11" s="16">
        <v>11</v>
      </c>
      <c r="H11" s="19">
        <f t="shared" si="0"/>
        <v>467181</v>
      </c>
    </row>
    <row r="12" spans="1:8" x14ac:dyDescent="0.2">
      <c r="A12" s="71"/>
      <c r="B12" s="13">
        <v>6</v>
      </c>
      <c r="C12" s="13">
        <v>470688</v>
      </c>
      <c r="D12" s="14" t="s">
        <v>18</v>
      </c>
      <c r="E12" s="15" t="s">
        <v>13</v>
      </c>
      <c r="F12" s="95">
        <f>618*4</f>
        <v>2472</v>
      </c>
      <c r="G12" s="16">
        <v>7</v>
      </c>
      <c r="H12" s="19">
        <f t="shared" si="0"/>
        <v>17304</v>
      </c>
    </row>
    <row r="13" spans="1:8" x14ac:dyDescent="0.2">
      <c r="A13" s="71"/>
      <c r="B13" s="13">
        <v>7</v>
      </c>
      <c r="C13" s="13">
        <v>606522</v>
      </c>
      <c r="D13" s="14" t="s">
        <v>19</v>
      </c>
      <c r="E13" s="15" t="s">
        <v>13</v>
      </c>
      <c r="F13" s="95">
        <f>225*2</f>
        <v>450</v>
      </c>
      <c r="G13" s="16">
        <v>56.32</v>
      </c>
      <c r="H13" s="19">
        <f t="shared" si="0"/>
        <v>25344</v>
      </c>
    </row>
    <row r="14" spans="1:8" x14ac:dyDescent="0.2">
      <c r="A14" s="71"/>
      <c r="B14" s="13">
        <v>8</v>
      </c>
      <c r="C14" s="13">
        <v>222996</v>
      </c>
      <c r="D14" s="14" t="s">
        <v>20</v>
      </c>
      <c r="E14" s="15" t="s">
        <v>13</v>
      </c>
      <c r="F14" s="95">
        <f>1160*5</f>
        <v>5800</v>
      </c>
      <c r="G14" s="16">
        <v>54.51</v>
      </c>
      <c r="H14" s="19">
        <f t="shared" si="0"/>
        <v>316158</v>
      </c>
    </row>
    <row r="15" spans="1:8" ht="14.25" customHeight="1" x14ac:dyDescent="0.2">
      <c r="A15" s="71"/>
      <c r="B15" s="13">
        <v>9</v>
      </c>
      <c r="C15" s="13">
        <v>462666</v>
      </c>
      <c r="D15" s="14" t="s">
        <v>21</v>
      </c>
      <c r="E15" s="15" t="s">
        <v>13</v>
      </c>
      <c r="F15" s="95">
        <f>1160*5</f>
        <v>5800</v>
      </c>
      <c r="G15" s="16">
        <v>49</v>
      </c>
      <c r="H15" s="19">
        <f t="shared" si="0"/>
        <v>284200</v>
      </c>
    </row>
    <row r="16" spans="1:8" x14ac:dyDescent="0.2">
      <c r="A16" s="71"/>
      <c r="B16" s="13">
        <v>10</v>
      </c>
      <c r="C16" s="13">
        <v>448953</v>
      </c>
      <c r="D16" s="14" t="s">
        <v>22</v>
      </c>
      <c r="E16" s="15" t="s">
        <v>13</v>
      </c>
      <c r="F16" s="95">
        <f>4601*11</f>
        <v>50611</v>
      </c>
      <c r="G16" s="16">
        <v>51.77</v>
      </c>
      <c r="H16" s="19">
        <f t="shared" si="0"/>
        <v>2620131.4700000002</v>
      </c>
    </row>
    <row r="17" spans="1:8" x14ac:dyDescent="0.2">
      <c r="A17" s="71"/>
      <c r="B17" s="13">
        <v>11</v>
      </c>
      <c r="C17" s="13">
        <v>617794</v>
      </c>
      <c r="D17" s="14" t="s">
        <v>23</v>
      </c>
      <c r="E17" s="15" t="s">
        <v>13</v>
      </c>
      <c r="F17" s="95">
        <v>3462</v>
      </c>
      <c r="G17" s="16">
        <v>49.13</v>
      </c>
      <c r="H17" s="19">
        <f t="shared" si="0"/>
        <v>170088.06</v>
      </c>
    </row>
    <row r="18" spans="1:8" x14ac:dyDescent="0.2">
      <c r="A18" s="71"/>
      <c r="B18" s="13">
        <v>12</v>
      </c>
      <c r="C18" s="13">
        <v>446706</v>
      </c>
      <c r="D18" s="14" t="s">
        <v>24</v>
      </c>
      <c r="E18" s="15" t="s">
        <v>25</v>
      </c>
      <c r="F18" s="95">
        <f>6338*3</f>
        <v>19014</v>
      </c>
      <c r="G18" s="16">
        <v>11.57</v>
      </c>
      <c r="H18" s="19">
        <f t="shared" si="0"/>
        <v>219991.98</v>
      </c>
    </row>
    <row r="19" spans="1:8" x14ac:dyDescent="0.2">
      <c r="A19" s="71"/>
      <c r="B19" s="13">
        <v>13</v>
      </c>
      <c r="C19" s="13">
        <v>446706</v>
      </c>
      <c r="D19" s="14" t="s">
        <v>26</v>
      </c>
      <c r="E19" s="15" t="s">
        <v>25</v>
      </c>
      <c r="F19" s="95">
        <f>6338*4</f>
        <v>25352</v>
      </c>
      <c r="G19" s="16">
        <v>11.24</v>
      </c>
      <c r="H19" s="19">
        <f t="shared" si="0"/>
        <v>284956.48</v>
      </c>
    </row>
    <row r="20" spans="1:8" x14ac:dyDescent="0.2">
      <c r="A20" s="71"/>
      <c r="B20" s="13">
        <v>14</v>
      </c>
      <c r="C20" s="13">
        <v>445995</v>
      </c>
      <c r="D20" s="14" t="s">
        <v>27</v>
      </c>
      <c r="E20" s="15" t="s">
        <v>25</v>
      </c>
      <c r="F20" s="95">
        <f>1532*8</f>
        <v>12256</v>
      </c>
      <c r="G20" s="16">
        <v>4.3600000000000003</v>
      </c>
      <c r="H20" s="19">
        <f t="shared" si="0"/>
        <v>53436.160000000003</v>
      </c>
    </row>
    <row r="21" spans="1:8" x14ac:dyDescent="0.2">
      <c r="A21" s="71"/>
      <c r="B21" s="13">
        <v>15</v>
      </c>
      <c r="C21" s="13">
        <v>282783</v>
      </c>
      <c r="D21" s="14" t="s">
        <v>28</v>
      </c>
      <c r="E21" s="15" t="s">
        <v>13</v>
      </c>
      <c r="F21" s="95">
        <v>1153</v>
      </c>
      <c r="G21" s="16">
        <v>49.95</v>
      </c>
      <c r="H21" s="19">
        <f t="shared" si="0"/>
        <v>57592.350000000006</v>
      </c>
    </row>
    <row r="22" spans="1:8" x14ac:dyDescent="0.2">
      <c r="A22" s="71"/>
      <c r="B22" s="13">
        <v>16</v>
      </c>
      <c r="C22" s="13">
        <v>464468</v>
      </c>
      <c r="D22" s="14" t="s">
        <v>29</v>
      </c>
      <c r="E22" s="15" t="s">
        <v>13</v>
      </c>
      <c r="F22" s="95">
        <f>15410*5</f>
        <v>77050</v>
      </c>
      <c r="G22" s="16">
        <v>19.89</v>
      </c>
      <c r="H22" s="19">
        <f t="shared" si="0"/>
        <v>1532524.5</v>
      </c>
    </row>
    <row r="23" spans="1:8" x14ac:dyDescent="0.2">
      <c r="A23" s="71"/>
      <c r="B23" s="13">
        <v>17</v>
      </c>
      <c r="C23" s="13">
        <v>464484</v>
      </c>
      <c r="D23" s="14" t="s">
        <v>30</v>
      </c>
      <c r="E23" s="15" t="s">
        <v>13</v>
      </c>
      <c r="F23" s="95">
        <f>15804*6</f>
        <v>94824</v>
      </c>
      <c r="G23" s="16">
        <v>19.649999999999999</v>
      </c>
      <c r="H23" s="19">
        <f t="shared" si="0"/>
        <v>1863291.5999999999</v>
      </c>
    </row>
    <row r="24" spans="1:8" x14ac:dyDescent="0.2">
      <c r="A24" s="71"/>
      <c r="B24" s="13">
        <v>18</v>
      </c>
      <c r="C24" s="13">
        <v>464514</v>
      </c>
      <c r="D24" s="14" t="s">
        <v>31</v>
      </c>
      <c r="E24" s="15" t="s">
        <v>13</v>
      </c>
      <c r="F24" s="95">
        <f>15804*6</f>
        <v>94824</v>
      </c>
      <c r="G24" s="16">
        <v>18.100000000000001</v>
      </c>
      <c r="H24" s="19">
        <f t="shared" si="0"/>
        <v>1716314.4000000001</v>
      </c>
    </row>
    <row r="25" spans="1:8" x14ac:dyDescent="0.2">
      <c r="A25" s="71"/>
      <c r="B25" s="13">
        <v>19</v>
      </c>
      <c r="C25" s="13">
        <v>464491</v>
      </c>
      <c r="D25" s="14" t="s">
        <v>32</v>
      </c>
      <c r="E25" s="15" t="s">
        <v>13</v>
      </c>
      <c r="F25" s="95">
        <f>6449*4</f>
        <v>25796</v>
      </c>
      <c r="G25" s="16">
        <v>23.89</v>
      </c>
      <c r="H25" s="19">
        <f t="shared" si="0"/>
        <v>616266.44000000006</v>
      </c>
    </row>
    <row r="26" spans="1:8" x14ac:dyDescent="0.2">
      <c r="A26" s="71"/>
      <c r="B26" s="13">
        <v>20</v>
      </c>
      <c r="C26" s="13">
        <v>282785</v>
      </c>
      <c r="D26" s="14" t="s">
        <v>33</v>
      </c>
      <c r="E26" s="15" t="s">
        <v>13</v>
      </c>
      <c r="F26" s="95">
        <f>15804*5</f>
        <v>79020</v>
      </c>
      <c r="G26" s="16">
        <v>23</v>
      </c>
      <c r="H26" s="19">
        <f t="shared" si="0"/>
        <v>1817460</v>
      </c>
    </row>
    <row r="27" spans="1:8" x14ac:dyDescent="0.2">
      <c r="A27" s="71"/>
      <c r="B27" s="13">
        <v>21</v>
      </c>
      <c r="C27" s="13">
        <v>464474</v>
      </c>
      <c r="D27" s="14" t="s">
        <v>34</v>
      </c>
      <c r="E27" s="15" t="s">
        <v>13</v>
      </c>
      <c r="F27" s="95">
        <f>15804*5</f>
        <v>79020</v>
      </c>
      <c r="G27" s="16">
        <v>28.58</v>
      </c>
      <c r="H27" s="19">
        <f t="shared" si="0"/>
        <v>2258391.6</v>
      </c>
    </row>
    <row r="28" spans="1:8" x14ac:dyDescent="0.2">
      <c r="A28" s="71"/>
      <c r="B28" s="13">
        <v>22</v>
      </c>
      <c r="C28" s="13">
        <v>464475</v>
      </c>
      <c r="D28" s="14" t="s">
        <v>35</v>
      </c>
      <c r="E28" s="15" t="s">
        <v>13</v>
      </c>
      <c r="F28" s="95">
        <f>13599*4</f>
        <v>54396</v>
      </c>
      <c r="G28" s="16">
        <v>18.47</v>
      </c>
      <c r="H28" s="19">
        <f t="shared" si="0"/>
        <v>1004694.12</v>
      </c>
    </row>
    <row r="29" spans="1:8" x14ac:dyDescent="0.2">
      <c r="A29" s="71"/>
      <c r="B29" s="13">
        <v>23</v>
      </c>
      <c r="C29" s="13">
        <v>464485</v>
      </c>
      <c r="D29" s="14" t="s">
        <v>36</v>
      </c>
      <c r="E29" s="15" t="s">
        <v>13</v>
      </c>
      <c r="F29" s="95">
        <f>7677*3</f>
        <v>23031</v>
      </c>
      <c r="G29" s="16">
        <v>23.07</v>
      </c>
      <c r="H29" s="19">
        <f t="shared" si="0"/>
        <v>531325.17000000004</v>
      </c>
    </row>
    <row r="30" spans="1:8" x14ac:dyDescent="0.2">
      <c r="A30" s="71"/>
      <c r="B30" s="13">
        <v>24</v>
      </c>
      <c r="C30" s="13">
        <v>282786</v>
      </c>
      <c r="D30" s="14" t="s">
        <v>37</v>
      </c>
      <c r="E30" s="15" t="s">
        <v>13</v>
      </c>
      <c r="F30" s="95">
        <v>3850</v>
      </c>
      <c r="G30" s="16">
        <v>25.92</v>
      </c>
      <c r="H30" s="19">
        <f t="shared" si="0"/>
        <v>99792</v>
      </c>
    </row>
    <row r="31" spans="1:8" x14ac:dyDescent="0.2">
      <c r="A31" s="71"/>
      <c r="B31" s="13">
        <v>25</v>
      </c>
      <c r="C31" s="13">
        <v>464511</v>
      </c>
      <c r="D31" s="14" t="s">
        <v>38</v>
      </c>
      <c r="E31" s="15" t="s">
        <v>13</v>
      </c>
      <c r="F31" s="95">
        <f>4948*2</f>
        <v>9896</v>
      </c>
      <c r="G31" s="16">
        <v>17.399999999999999</v>
      </c>
      <c r="H31" s="19">
        <f t="shared" si="0"/>
        <v>172190.4</v>
      </c>
    </row>
    <row r="32" spans="1:8" x14ac:dyDescent="0.2">
      <c r="A32" s="71"/>
      <c r="B32" s="13">
        <v>26</v>
      </c>
      <c r="C32" s="13">
        <v>405351</v>
      </c>
      <c r="D32" s="14" t="s">
        <v>39</v>
      </c>
      <c r="E32" s="15" t="s">
        <v>13</v>
      </c>
      <c r="F32" s="95">
        <f>1293*5</f>
        <v>6465</v>
      </c>
      <c r="G32" s="16">
        <v>37.450000000000003</v>
      </c>
      <c r="H32" s="19">
        <f t="shared" si="0"/>
        <v>242114.25000000003</v>
      </c>
    </row>
    <row r="33" spans="1:8" x14ac:dyDescent="0.2">
      <c r="A33" s="71"/>
      <c r="B33" s="13">
        <v>27</v>
      </c>
      <c r="C33" s="13">
        <v>446393</v>
      </c>
      <c r="D33" s="14" t="s">
        <v>40</v>
      </c>
      <c r="E33" s="15" t="s">
        <v>13</v>
      </c>
      <c r="F33" s="95">
        <f>392*6</f>
        <v>2352</v>
      </c>
      <c r="G33" s="16">
        <v>51.47</v>
      </c>
      <c r="H33" s="19">
        <f t="shared" si="0"/>
        <v>121057.44</v>
      </c>
    </row>
    <row r="34" spans="1:8" x14ac:dyDescent="0.2">
      <c r="A34" s="71"/>
      <c r="B34" s="13">
        <v>28</v>
      </c>
      <c r="C34" s="13">
        <v>446633</v>
      </c>
      <c r="D34" s="14" t="s">
        <v>41</v>
      </c>
      <c r="E34" s="15" t="s">
        <v>13</v>
      </c>
      <c r="F34" s="95">
        <f>3669*9</f>
        <v>33021</v>
      </c>
      <c r="G34" s="16">
        <v>49.57</v>
      </c>
      <c r="H34" s="19">
        <f t="shared" si="0"/>
        <v>1636850.97</v>
      </c>
    </row>
    <row r="35" spans="1:8" x14ac:dyDescent="0.2">
      <c r="A35" s="71"/>
      <c r="B35" s="13">
        <v>29</v>
      </c>
      <c r="C35" s="13">
        <v>282788</v>
      </c>
      <c r="D35" s="14" t="s">
        <v>42</v>
      </c>
      <c r="E35" s="15" t="s">
        <v>13</v>
      </c>
      <c r="F35" s="95">
        <v>2055</v>
      </c>
      <c r="G35" s="16">
        <v>37.25</v>
      </c>
      <c r="H35" s="19">
        <f t="shared" si="0"/>
        <v>76548.75</v>
      </c>
    </row>
    <row r="36" spans="1:8" x14ac:dyDescent="0.2">
      <c r="A36" s="71"/>
      <c r="B36" s="13">
        <v>30</v>
      </c>
      <c r="C36" s="13">
        <v>470690</v>
      </c>
      <c r="D36" s="14" t="s">
        <v>43</v>
      </c>
      <c r="E36" s="15" t="s">
        <v>13</v>
      </c>
      <c r="F36" s="95">
        <v>4601</v>
      </c>
      <c r="G36" s="16">
        <v>31.65</v>
      </c>
      <c r="H36" s="19">
        <f t="shared" si="0"/>
        <v>145621.65</v>
      </c>
    </row>
    <row r="37" spans="1:8" x14ac:dyDescent="0.2">
      <c r="A37" s="71"/>
      <c r="B37" s="13">
        <v>31</v>
      </c>
      <c r="C37" s="13">
        <v>460397</v>
      </c>
      <c r="D37" s="14" t="s">
        <v>44</v>
      </c>
      <c r="E37" s="15" t="s">
        <v>13</v>
      </c>
      <c r="F37" s="95">
        <v>1925</v>
      </c>
      <c r="G37" s="16">
        <v>20.7</v>
      </c>
      <c r="H37" s="19">
        <f t="shared" si="0"/>
        <v>39847.5</v>
      </c>
    </row>
    <row r="38" spans="1:8" ht="13.5" thickBot="1" x14ac:dyDescent="0.25">
      <c r="A38" s="71"/>
      <c r="B38" s="13">
        <v>32</v>
      </c>
      <c r="C38" s="13">
        <v>458919</v>
      </c>
      <c r="D38" s="14" t="s">
        <v>45</v>
      </c>
      <c r="E38" s="15" t="s">
        <v>13</v>
      </c>
      <c r="F38" s="95">
        <v>395</v>
      </c>
      <c r="G38" s="16">
        <v>5.33</v>
      </c>
      <c r="H38" s="19">
        <f t="shared" si="0"/>
        <v>2105.35</v>
      </c>
    </row>
    <row r="39" spans="1:8" ht="13.5" thickBot="1" x14ac:dyDescent="0.25">
      <c r="A39" s="67" t="s">
        <v>46</v>
      </c>
      <c r="B39" s="92"/>
      <c r="C39" s="92"/>
      <c r="D39" s="92"/>
      <c r="E39" s="68"/>
      <c r="F39" s="68"/>
      <c r="G39" s="69"/>
      <c r="H39" s="20">
        <f>SUM(H7:H38)</f>
        <v>19561921.269999996</v>
      </c>
    </row>
    <row r="40" spans="1:8" ht="13.5" thickBot="1" x14ac:dyDescent="0.25"/>
    <row r="41" spans="1:8" ht="13.5" thickBot="1" x14ac:dyDescent="0.25">
      <c r="A41" s="5" t="s">
        <v>47</v>
      </c>
      <c r="B41" s="6"/>
      <c r="C41" s="6"/>
      <c r="D41" s="6"/>
      <c r="E41" s="6"/>
      <c r="F41" s="6"/>
      <c r="G41" s="7"/>
      <c r="H41" s="8"/>
    </row>
    <row r="42" spans="1:8" ht="13.5" thickBot="1" x14ac:dyDescent="0.25">
      <c r="A42" s="9" t="s">
        <v>3</v>
      </c>
      <c r="B42" s="10" t="s">
        <v>4</v>
      </c>
      <c r="C42" s="10" t="s">
        <v>5</v>
      </c>
      <c r="D42" s="10" t="s">
        <v>6</v>
      </c>
      <c r="E42" s="10" t="s">
        <v>7</v>
      </c>
      <c r="F42" s="10" t="s">
        <v>8</v>
      </c>
      <c r="G42" s="11" t="s">
        <v>9</v>
      </c>
      <c r="H42" s="12" t="s">
        <v>10</v>
      </c>
    </row>
    <row r="43" spans="1:8" x14ac:dyDescent="0.2">
      <c r="A43" s="70" t="s">
        <v>48</v>
      </c>
      <c r="B43" s="13">
        <v>1</v>
      </c>
      <c r="C43" s="13">
        <v>282769</v>
      </c>
      <c r="D43" s="14" t="s">
        <v>12</v>
      </c>
      <c r="E43" s="15" t="s">
        <v>13</v>
      </c>
      <c r="F43" s="96">
        <f>23*7</f>
        <v>161</v>
      </c>
      <c r="G43" s="16">
        <v>29.2</v>
      </c>
      <c r="H43" s="22">
        <f>F43*G43</f>
        <v>4701.2</v>
      </c>
    </row>
    <row r="44" spans="1:8" x14ac:dyDescent="0.2">
      <c r="A44" s="71"/>
      <c r="B44" s="13">
        <v>2</v>
      </c>
      <c r="C44" s="13">
        <v>458921</v>
      </c>
      <c r="D44" s="14" t="s">
        <v>14</v>
      </c>
      <c r="E44" s="15" t="s">
        <v>13</v>
      </c>
      <c r="F44" s="97">
        <f>53*5</f>
        <v>265</v>
      </c>
      <c r="G44" s="16">
        <v>7.68</v>
      </c>
      <c r="H44" s="23">
        <f t="shared" ref="H44:H74" si="1">F44*G44</f>
        <v>2035.1999999999998</v>
      </c>
    </row>
    <row r="45" spans="1:8" x14ac:dyDescent="0.2">
      <c r="A45" s="71"/>
      <c r="B45" s="13">
        <v>3</v>
      </c>
      <c r="C45" s="13">
        <v>464553</v>
      </c>
      <c r="D45" s="14" t="s">
        <v>15</v>
      </c>
      <c r="E45" s="15" t="s">
        <v>13</v>
      </c>
      <c r="F45" s="97">
        <f>718*9</f>
        <v>6462</v>
      </c>
      <c r="G45" s="16">
        <v>6.91</v>
      </c>
      <c r="H45" s="23">
        <f t="shared" si="1"/>
        <v>44652.42</v>
      </c>
    </row>
    <row r="46" spans="1:8" x14ac:dyDescent="0.2">
      <c r="A46" s="71"/>
      <c r="B46" s="13">
        <v>4</v>
      </c>
      <c r="C46" s="13">
        <v>464552</v>
      </c>
      <c r="D46" s="14" t="s">
        <v>16</v>
      </c>
      <c r="E46" s="15" t="s">
        <v>13</v>
      </c>
      <c r="F46" s="97">
        <f>718*9</f>
        <v>6462</v>
      </c>
      <c r="G46" s="16">
        <v>9.92</v>
      </c>
      <c r="H46" s="23">
        <f t="shared" si="1"/>
        <v>64103.040000000001</v>
      </c>
    </row>
    <row r="47" spans="1:8" x14ac:dyDescent="0.2">
      <c r="A47" s="71"/>
      <c r="B47" s="13">
        <v>5</v>
      </c>
      <c r="C47" s="13">
        <v>464558</v>
      </c>
      <c r="D47" s="14" t="s">
        <v>17</v>
      </c>
      <c r="E47" s="15" t="s">
        <v>13</v>
      </c>
      <c r="F47" s="97">
        <f>486*9</f>
        <v>4374</v>
      </c>
      <c r="G47" s="16">
        <v>11.29</v>
      </c>
      <c r="H47" s="23">
        <f t="shared" si="1"/>
        <v>49382.46</v>
      </c>
    </row>
    <row r="48" spans="1:8" x14ac:dyDescent="0.2">
      <c r="A48" s="71"/>
      <c r="B48" s="13">
        <v>6</v>
      </c>
      <c r="C48" s="13">
        <v>470688</v>
      </c>
      <c r="D48" s="14" t="s">
        <v>18</v>
      </c>
      <c r="E48" s="15" t="s">
        <v>13</v>
      </c>
      <c r="F48" s="97">
        <f>67*4</f>
        <v>268</v>
      </c>
      <c r="G48" s="16">
        <v>6.73</v>
      </c>
      <c r="H48" s="23">
        <f t="shared" si="1"/>
        <v>1803.64</v>
      </c>
    </row>
    <row r="49" spans="1:8" x14ac:dyDescent="0.2">
      <c r="A49" s="71"/>
      <c r="B49" s="13">
        <v>7</v>
      </c>
      <c r="C49" s="13">
        <v>606522</v>
      </c>
      <c r="D49" s="14" t="s">
        <v>19</v>
      </c>
      <c r="E49" s="15" t="s">
        <v>13</v>
      </c>
      <c r="F49" s="97">
        <f>29*2</f>
        <v>58</v>
      </c>
      <c r="G49" s="16">
        <v>62.65</v>
      </c>
      <c r="H49" s="23">
        <f t="shared" si="1"/>
        <v>3633.7</v>
      </c>
    </row>
    <row r="50" spans="1:8" x14ac:dyDescent="0.2">
      <c r="A50" s="71"/>
      <c r="B50" s="13">
        <v>8</v>
      </c>
      <c r="C50" s="13">
        <v>222996</v>
      </c>
      <c r="D50" s="14" t="s">
        <v>20</v>
      </c>
      <c r="E50" s="15" t="s">
        <v>13</v>
      </c>
      <c r="F50" s="97">
        <f>124*5</f>
        <v>620</v>
      </c>
      <c r="G50" s="16">
        <v>54.51</v>
      </c>
      <c r="H50" s="23">
        <f t="shared" si="1"/>
        <v>33796.199999999997</v>
      </c>
    </row>
    <row r="51" spans="1:8" x14ac:dyDescent="0.2">
      <c r="A51" s="71"/>
      <c r="B51" s="13">
        <v>9</v>
      </c>
      <c r="C51" s="13">
        <v>462666</v>
      </c>
      <c r="D51" s="14" t="s">
        <v>21</v>
      </c>
      <c r="E51" s="15" t="s">
        <v>13</v>
      </c>
      <c r="F51" s="97">
        <f>124*5</f>
        <v>620</v>
      </c>
      <c r="G51" s="16">
        <v>51</v>
      </c>
      <c r="H51" s="23">
        <f t="shared" si="1"/>
        <v>31620</v>
      </c>
    </row>
    <row r="52" spans="1:8" x14ac:dyDescent="0.2">
      <c r="A52" s="71"/>
      <c r="B52" s="13">
        <v>10</v>
      </c>
      <c r="C52" s="13">
        <v>448953</v>
      </c>
      <c r="D52" s="14" t="s">
        <v>22</v>
      </c>
      <c r="E52" s="15" t="s">
        <v>13</v>
      </c>
      <c r="F52" s="97">
        <f>479*11</f>
        <v>5269</v>
      </c>
      <c r="G52" s="16">
        <v>51.82</v>
      </c>
      <c r="H52" s="23">
        <f t="shared" si="1"/>
        <v>273039.58</v>
      </c>
    </row>
    <row r="53" spans="1:8" x14ac:dyDescent="0.2">
      <c r="A53" s="71"/>
      <c r="B53" s="13">
        <v>11</v>
      </c>
      <c r="C53" s="13">
        <v>617794</v>
      </c>
      <c r="D53" s="14" t="s">
        <v>23</v>
      </c>
      <c r="E53" s="15" t="s">
        <v>13</v>
      </c>
      <c r="F53" s="97">
        <v>360</v>
      </c>
      <c r="G53" s="16">
        <v>50.4</v>
      </c>
      <c r="H53" s="23">
        <f t="shared" si="1"/>
        <v>18144</v>
      </c>
    </row>
    <row r="54" spans="1:8" x14ac:dyDescent="0.2">
      <c r="A54" s="71"/>
      <c r="B54" s="13">
        <v>12</v>
      </c>
      <c r="C54" s="13">
        <v>446706</v>
      </c>
      <c r="D54" s="14" t="s">
        <v>24</v>
      </c>
      <c r="E54" s="15" t="s">
        <v>25</v>
      </c>
      <c r="F54" s="97">
        <f>659*3</f>
        <v>1977</v>
      </c>
      <c r="G54" s="16">
        <v>11.94</v>
      </c>
      <c r="H54" s="23">
        <f t="shared" si="1"/>
        <v>23605.379999999997</v>
      </c>
    </row>
    <row r="55" spans="1:8" x14ac:dyDescent="0.2">
      <c r="A55" s="71"/>
      <c r="B55" s="13">
        <v>13</v>
      </c>
      <c r="C55" s="13">
        <v>446706</v>
      </c>
      <c r="D55" s="14" t="s">
        <v>26</v>
      </c>
      <c r="E55" s="15" t="s">
        <v>25</v>
      </c>
      <c r="F55" s="97">
        <f>659*4</f>
        <v>2636</v>
      </c>
      <c r="G55" s="16">
        <v>11.62</v>
      </c>
      <c r="H55" s="23">
        <f t="shared" si="1"/>
        <v>30630.32</v>
      </c>
    </row>
    <row r="56" spans="1:8" x14ac:dyDescent="0.2">
      <c r="A56" s="71"/>
      <c r="B56" s="13">
        <v>14</v>
      </c>
      <c r="C56" s="13">
        <v>445995</v>
      </c>
      <c r="D56" s="14" t="s">
        <v>27</v>
      </c>
      <c r="E56" s="15" t="s">
        <v>25</v>
      </c>
      <c r="F56" s="97">
        <f>148*8</f>
        <v>1184</v>
      </c>
      <c r="G56" s="16">
        <v>4.3600000000000003</v>
      </c>
      <c r="H56" s="23">
        <f t="shared" si="1"/>
        <v>5162.2400000000007</v>
      </c>
    </row>
    <row r="57" spans="1:8" x14ac:dyDescent="0.2">
      <c r="A57" s="71"/>
      <c r="B57" s="13">
        <v>15</v>
      </c>
      <c r="C57" s="13">
        <v>282783</v>
      </c>
      <c r="D57" s="14" t="s">
        <v>28</v>
      </c>
      <c r="E57" s="15" t="s">
        <v>13</v>
      </c>
      <c r="F57" s="97">
        <v>120</v>
      </c>
      <c r="G57" s="16">
        <v>47.07</v>
      </c>
      <c r="H57" s="23">
        <f t="shared" si="1"/>
        <v>5648.4</v>
      </c>
    </row>
    <row r="58" spans="1:8" x14ac:dyDescent="0.2">
      <c r="A58" s="71"/>
      <c r="B58" s="13">
        <v>16</v>
      </c>
      <c r="C58" s="13">
        <v>464468</v>
      </c>
      <c r="D58" s="14" t="s">
        <v>29</v>
      </c>
      <c r="E58" s="15" t="s">
        <v>13</v>
      </c>
      <c r="F58" s="97">
        <f>1482*5</f>
        <v>7410</v>
      </c>
      <c r="G58" s="16">
        <v>20.91</v>
      </c>
      <c r="H58" s="23">
        <f t="shared" si="1"/>
        <v>154943.1</v>
      </c>
    </row>
    <row r="59" spans="1:8" x14ac:dyDescent="0.2">
      <c r="A59" s="71"/>
      <c r="B59" s="13">
        <v>17</v>
      </c>
      <c r="C59" s="13">
        <v>464484</v>
      </c>
      <c r="D59" s="14" t="s">
        <v>30</v>
      </c>
      <c r="E59" s="15" t="s">
        <v>13</v>
      </c>
      <c r="F59" s="97">
        <f>1506*6</f>
        <v>9036</v>
      </c>
      <c r="G59" s="16">
        <v>20.3</v>
      </c>
      <c r="H59" s="23">
        <f t="shared" si="1"/>
        <v>183430.80000000002</v>
      </c>
    </row>
    <row r="60" spans="1:8" x14ac:dyDescent="0.2">
      <c r="A60" s="71"/>
      <c r="B60" s="13">
        <v>18</v>
      </c>
      <c r="C60" s="13">
        <v>464514</v>
      </c>
      <c r="D60" s="14" t="s">
        <v>31</v>
      </c>
      <c r="E60" s="15" t="s">
        <v>13</v>
      </c>
      <c r="F60" s="97">
        <f>1506*6</f>
        <v>9036</v>
      </c>
      <c r="G60" s="16">
        <v>18.36</v>
      </c>
      <c r="H60" s="23">
        <f t="shared" si="1"/>
        <v>165900.96</v>
      </c>
    </row>
    <row r="61" spans="1:8" x14ac:dyDescent="0.2">
      <c r="A61" s="71"/>
      <c r="B61" s="13">
        <v>19</v>
      </c>
      <c r="C61" s="13">
        <v>464491</v>
      </c>
      <c r="D61" s="14" t="s">
        <v>32</v>
      </c>
      <c r="E61" s="15" t="s">
        <v>13</v>
      </c>
      <c r="F61" s="97">
        <f>589*4</f>
        <v>2356</v>
      </c>
      <c r="G61" s="16">
        <v>25.8</v>
      </c>
      <c r="H61" s="23">
        <f t="shared" si="1"/>
        <v>60784.800000000003</v>
      </c>
    </row>
    <row r="62" spans="1:8" x14ac:dyDescent="0.2">
      <c r="A62" s="71"/>
      <c r="B62" s="13">
        <v>20</v>
      </c>
      <c r="C62" s="13">
        <v>282785</v>
      </c>
      <c r="D62" s="14" t="s">
        <v>33</v>
      </c>
      <c r="E62" s="15" t="s">
        <v>13</v>
      </c>
      <c r="F62" s="97">
        <f>1506*5</f>
        <v>7530</v>
      </c>
      <c r="G62" s="16">
        <v>25.38</v>
      </c>
      <c r="H62" s="23">
        <f t="shared" si="1"/>
        <v>191111.4</v>
      </c>
    </row>
    <row r="63" spans="1:8" x14ac:dyDescent="0.2">
      <c r="A63" s="71"/>
      <c r="B63" s="13">
        <v>21</v>
      </c>
      <c r="C63" s="13">
        <v>464474</v>
      </c>
      <c r="D63" s="14" t="s">
        <v>34</v>
      </c>
      <c r="E63" s="15" t="s">
        <v>13</v>
      </c>
      <c r="F63" s="97">
        <f>1506*5</f>
        <v>7530</v>
      </c>
      <c r="G63" s="16">
        <v>30.3</v>
      </c>
      <c r="H63" s="23">
        <f t="shared" si="1"/>
        <v>228159</v>
      </c>
    </row>
    <row r="64" spans="1:8" x14ac:dyDescent="0.2">
      <c r="A64" s="71"/>
      <c r="B64" s="13">
        <v>22</v>
      </c>
      <c r="C64" s="13">
        <v>464475</v>
      </c>
      <c r="D64" s="14" t="s">
        <v>35</v>
      </c>
      <c r="E64" s="15" t="s">
        <v>13</v>
      </c>
      <c r="F64" s="97">
        <f>1341*4</f>
        <v>5364</v>
      </c>
      <c r="G64" s="16">
        <v>18.68</v>
      </c>
      <c r="H64" s="23">
        <f t="shared" si="1"/>
        <v>100199.52</v>
      </c>
    </row>
    <row r="65" spans="1:8" x14ac:dyDescent="0.2">
      <c r="A65" s="71"/>
      <c r="B65" s="13">
        <v>23</v>
      </c>
      <c r="C65" s="13">
        <v>464485</v>
      </c>
      <c r="D65" s="14" t="s">
        <v>36</v>
      </c>
      <c r="E65" s="15" t="s">
        <v>13</v>
      </c>
      <c r="F65" s="97">
        <f>798*3</f>
        <v>2394</v>
      </c>
      <c r="G65" s="16">
        <v>23.04</v>
      </c>
      <c r="H65" s="23">
        <f t="shared" si="1"/>
        <v>55157.759999999995</v>
      </c>
    </row>
    <row r="66" spans="1:8" x14ac:dyDescent="0.2">
      <c r="A66" s="71"/>
      <c r="B66" s="13">
        <v>24</v>
      </c>
      <c r="C66" s="13">
        <v>282786</v>
      </c>
      <c r="D66" s="14" t="s">
        <v>37</v>
      </c>
      <c r="E66" s="15" t="s">
        <v>13</v>
      </c>
      <c r="F66" s="97">
        <v>400</v>
      </c>
      <c r="G66" s="16">
        <v>25.83</v>
      </c>
      <c r="H66" s="23">
        <f t="shared" si="1"/>
        <v>10332</v>
      </c>
    </row>
    <row r="67" spans="1:8" x14ac:dyDescent="0.2">
      <c r="A67" s="71"/>
      <c r="B67" s="13">
        <v>25</v>
      </c>
      <c r="C67" s="13">
        <v>464511</v>
      </c>
      <c r="D67" s="14" t="s">
        <v>38</v>
      </c>
      <c r="E67" s="15" t="s">
        <v>13</v>
      </c>
      <c r="F67" s="97">
        <f>480*2</f>
        <v>960</v>
      </c>
      <c r="G67" s="16">
        <v>17.399999999999999</v>
      </c>
      <c r="H67" s="23">
        <f t="shared" si="1"/>
        <v>16704</v>
      </c>
    </row>
    <row r="68" spans="1:8" x14ac:dyDescent="0.2">
      <c r="A68" s="71"/>
      <c r="B68" s="13">
        <v>26</v>
      </c>
      <c r="C68" s="13">
        <v>405351</v>
      </c>
      <c r="D68" s="14" t="s">
        <v>39</v>
      </c>
      <c r="E68" s="15" t="s">
        <v>13</v>
      </c>
      <c r="F68" s="97">
        <f>121*5</f>
        <v>605</v>
      </c>
      <c r="G68" s="16">
        <v>38</v>
      </c>
      <c r="H68" s="23">
        <f t="shared" si="1"/>
        <v>22990</v>
      </c>
    </row>
    <row r="69" spans="1:8" x14ac:dyDescent="0.2">
      <c r="A69" s="71"/>
      <c r="B69" s="13">
        <v>27</v>
      </c>
      <c r="C69" s="13">
        <v>446393</v>
      </c>
      <c r="D69" s="14" t="s">
        <v>40</v>
      </c>
      <c r="E69" s="15" t="s">
        <v>13</v>
      </c>
      <c r="F69" s="97">
        <f>37*6</f>
        <v>222</v>
      </c>
      <c r="G69" s="16">
        <v>49.85</v>
      </c>
      <c r="H69" s="23">
        <f t="shared" si="1"/>
        <v>11066.7</v>
      </c>
    </row>
    <row r="70" spans="1:8" x14ac:dyDescent="0.2">
      <c r="A70" s="71"/>
      <c r="B70" s="13">
        <v>28</v>
      </c>
      <c r="C70" s="13">
        <v>446633</v>
      </c>
      <c r="D70" s="14" t="s">
        <v>41</v>
      </c>
      <c r="E70" s="15" t="s">
        <v>13</v>
      </c>
      <c r="F70" s="97">
        <f>362*9</f>
        <v>3258</v>
      </c>
      <c r="G70" s="16">
        <v>46.79</v>
      </c>
      <c r="H70" s="23">
        <f t="shared" si="1"/>
        <v>152441.82</v>
      </c>
    </row>
    <row r="71" spans="1:8" x14ac:dyDescent="0.2">
      <c r="A71" s="71"/>
      <c r="B71" s="13">
        <v>29</v>
      </c>
      <c r="C71" s="13">
        <v>282788</v>
      </c>
      <c r="D71" s="14" t="s">
        <v>42</v>
      </c>
      <c r="E71" s="15" t="s">
        <v>13</v>
      </c>
      <c r="F71" s="97">
        <v>200</v>
      </c>
      <c r="G71" s="16">
        <v>37.25</v>
      </c>
      <c r="H71" s="23">
        <f t="shared" si="1"/>
        <v>7450</v>
      </c>
    </row>
    <row r="72" spans="1:8" x14ac:dyDescent="0.2">
      <c r="A72" s="71"/>
      <c r="B72" s="13">
        <v>30</v>
      </c>
      <c r="C72" s="13">
        <v>470690</v>
      </c>
      <c r="D72" s="14" t="s">
        <v>43</v>
      </c>
      <c r="E72" s="15" t="s">
        <v>13</v>
      </c>
      <c r="F72" s="97">
        <v>479</v>
      </c>
      <c r="G72" s="16">
        <v>29.93</v>
      </c>
      <c r="H72" s="23">
        <f t="shared" si="1"/>
        <v>14336.47</v>
      </c>
    </row>
    <row r="73" spans="1:8" x14ac:dyDescent="0.2">
      <c r="A73" s="71"/>
      <c r="B73" s="13">
        <v>31</v>
      </c>
      <c r="C73" s="13">
        <v>460397</v>
      </c>
      <c r="D73" s="14" t="s">
        <v>44</v>
      </c>
      <c r="E73" s="15" t="s">
        <v>13</v>
      </c>
      <c r="F73" s="97">
        <v>202</v>
      </c>
      <c r="G73" s="16">
        <v>20.7</v>
      </c>
      <c r="H73" s="23">
        <f t="shared" si="1"/>
        <v>4181.3999999999996</v>
      </c>
    </row>
    <row r="74" spans="1:8" ht="13.5" thickBot="1" x14ac:dyDescent="0.25">
      <c r="A74" s="71"/>
      <c r="B74" s="13">
        <v>32</v>
      </c>
      <c r="C74" s="13">
        <v>458919</v>
      </c>
      <c r="D74" s="14" t="s">
        <v>45</v>
      </c>
      <c r="E74" s="15" t="s">
        <v>13</v>
      </c>
      <c r="F74" s="97">
        <v>47</v>
      </c>
      <c r="G74" s="16">
        <v>5.27</v>
      </c>
      <c r="H74" s="23">
        <f t="shared" si="1"/>
        <v>247.68999999999997</v>
      </c>
    </row>
    <row r="75" spans="1:8" ht="13.5" thickBot="1" x14ac:dyDescent="0.25">
      <c r="A75" s="72" t="s">
        <v>46</v>
      </c>
      <c r="B75" s="73"/>
      <c r="C75" s="73"/>
      <c r="D75" s="73"/>
      <c r="E75" s="73"/>
      <c r="F75" s="73"/>
      <c r="G75" s="74"/>
      <c r="H75" s="20">
        <f>SUM(H43:H74)</f>
        <v>1971395.2</v>
      </c>
    </row>
    <row r="76" spans="1:8" ht="13.5" thickBot="1" x14ac:dyDescent="0.25"/>
    <row r="77" spans="1:8" ht="13.5" thickBot="1" x14ac:dyDescent="0.25">
      <c r="A77" s="5" t="s">
        <v>49</v>
      </c>
      <c r="B77" s="6"/>
      <c r="C77" s="6"/>
      <c r="D77" s="6"/>
      <c r="E77" s="24"/>
      <c r="F77" s="6"/>
      <c r="G77" s="7"/>
      <c r="H77" s="8"/>
    </row>
    <row r="78" spans="1:8" ht="13.5" thickBot="1" x14ac:dyDescent="0.25">
      <c r="A78" s="9" t="s">
        <v>3</v>
      </c>
      <c r="B78" s="10" t="s">
        <v>4</v>
      </c>
      <c r="C78" s="10" t="s">
        <v>5</v>
      </c>
      <c r="D78" s="10" t="s">
        <v>6</v>
      </c>
      <c r="E78" s="10" t="s">
        <v>7</v>
      </c>
      <c r="F78" s="10" t="s">
        <v>8</v>
      </c>
      <c r="G78" s="11" t="s">
        <v>9</v>
      </c>
      <c r="H78" s="12" t="s">
        <v>10</v>
      </c>
    </row>
    <row r="79" spans="1:8" x14ac:dyDescent="0.2">
      <c r="A79" s="70" t="s">
        <v>50</v>
      </c>
      <c r="B79" s="13">
        <v>1</v>
      </c>
      <c r="C79" s="13">
        <v>282769</v>
      </c>
      <c r="D79" s="14" t="s">
        <v>12</v>
      </c>
      <c r="E79" s="15" t="s">
        <v>13</v>
      </c>
      <c r="F79" s="96">
        <f>33*7</f>
        <v>231</v>
      </c>
      <c r="G79" s="16">
        <v>29.2</v>
      </c>
      <c r="H79" s="22">
        <f>F79*G79</f>
        <v>6745.2</v>
      </c>
    </row>
    <row r="80" spans="1:8" x14ac:dyDescent="0.2">
      <c r="A80" s="71"/>
      <c r="B80" s="13">
        <v>2</v>
      </c>
      <c r="C80" s="13">
        <v>458921</v>
      </c>
      <c r="D80" s="14" t="s">
        <v>14</v>
      </c>
      <c r="E80" s="15" t="s">
        <v>13</v>
      </c>
      <c r="F80" s="97">
        <f>96*5</f>
        <v>480</v>
      </c>
      <c r="G80" s="16">
        <v>7.68</v>
      </c>
      <c r="H80" s="23">
        <f t="shared" ref="H80:H110" si="2">F80*G80</f>
        <v>3686.3999999999996</v>
      </c>
    </row>
    <row r="81" spans="1:8" x14ac:dyDescent="0.2">
      <c r="A81" s="71"/>
      <c r="B81" s="13">
        <v>3</v>
      </c>
      <c r="C81" s="13">
        <v>464553</v>
      </c>
      <c r="D81" s="14" t="s">
        <v>15</v>
      </c>
      <c r="E81" s="15" t="s">
        <v>13</v>
      </c>
      <c r="F81" s="97">
        <f>1047*9</f>
        <v>9423</v>
      </c>
      <c r="G81" s="16">
        <v>6.91</v>
      </c>
      <c r="H81" s="23">
        <f t="shared" si="2"/>
        <v>65112.93</v>
      </c>
    </row>
    <row r="82" spans="1:8" x14ac:dyDescent="0.2">
      <c r="A82" s="71"/>
      <c r="B82" s="13">
        <v>4</v>
      </c>
      <c r="C82" s="13">
        <v>464552</v>
      </c>
      <c r="D82" s="14" t="s">
        <v>16</v>
      </c>
      <c r="E82" s="15" t="s">
        <v>13</v>
      </c>
      <c r="F82" s="97">
        <f>1047*9</f>
        <v>9423</v>
      </c>
      <c r="G82" s="16">
        <v>9.92</v>
      </c>
      <c r="H82" s="23">
        <f t="shared" si="2"/>
        <v>93476.160000000003</v>
      </c>
    </row>
    <row r="83" spans="1:8" x14ac:dyDescent="0.2">
      <c r="A83" s="71"/>
      <c r="B83" s="13">
        <v>5</v>
      </c>
      <c r="C83" s="13">
        <v>464558</v>
      </c>
      <c r="D83" s="14" t="s">
        <v>17</v>
      </c>
      <c r="E83" s="15" t="s">
        <v>13</v>
      </c>
      <c r="F83" s="97">
        <f>710*9</f>
        <v>6390</v>
      </c>
      <c r="G83" s="16">
        <v>11.29</v>
      </c>
      <c r="H83" s="23">
        <f t="shared" si="2"/>
        <v>72143.099999999991</v>
      </c>
    </row>
    <row r="84" spans="1:8" x14ac:dyDescent="0.2">
      <c r="A84" s="71"/>
      <c r="B84" s="13">
        <v>6</v>
      </c>
      <c r="C84" s="13">
        <v>470688</v>
      </c>
      <c r="D84" s="14" t="s">
        <v>18</v>
      </c>
      <c r="E84" s="15" t="s">
        <v>13</v>
      </c>
      <c r="F84" s="97">
        <f>90*4</f>
        <v>360</v>
      </c>
      <c r="G84" s="16">
        <v>6.73</v>
      </c>
      <c r="H84" s="23">
        <f t="shared" si="2"/>
        <v>2422.8000000000002</v>
      </c>
    </row>
    <row r="85" spans="1:8" x14ac:dyDescent="0.2">
      <c r="A85" s="71"/>
      <c r="B85" s="13">
        <v>7</v>
      </c>
      <c r="C85" s="13">
        <v>606522</v>
      </c>
      <c r="D85" s="14" t="s">
        <v>19</v>
      </c>
      <c r="E85" s="15" t="s">
        <v>13</v>
      </c>
      <c r="F85" s="97">
        <f>40*2</f>
        <v>80</v>
      </c>
      <c r="G85" s="16">
        <v>62.65</v>
      </c>
      <c r="H85" s="23">
        <f t="shared" si="2"/>
        <v>5012</v>
      </c>
    </row>
    <row r="86" spans="1:8" x14ac:dyDescent="0.2">
      <c r="A86" s="71"/>
      <c r="B86" s="13">
        <v>8</v>
      </c>
      <c r="C86" s="13">
        <v>222996</v>
      </c>
      <c r="D86" s="14" t="s">
        <v>20</v>
      </c>
      <c r="E86" s="15" t="s">
        <v>13</v>
      </c>
      <c r="F86" s="97">
        <f>178*5</f>
        <v>890</v>
      </c>
      <c r="G86" s="16">
        <v>54.51</v>
      </c>
      <c r="H86" s="23">
        <f t="shared" si="2"/>
        <v>48513.9</v>
      </c>
    </row>
    <row r="87" spans="1:8" x14ac:dyDescent="0.2">
      <c r="A87" s="71"/>
      <c r="B87" s="13">
        <v>9</v>
      </c>
      <c r="C87" s="13">
        <v>462666</v>
      </c>
      <c r="D87" s="14" t="s">
        <v>21</v>
      </c>
      <c r="E87" s="15" t="s">
        <v>13</v>
      </c>
      <c r="F87" s="97">
        <f>178*5</f>
        <v>890</v>
      </c>
      <c r="G87" s="16">
        <v>51</v>
      </c>
      <c r="H87" s="23">
        <f t="shared" si="2"/>
        <v>45390</v>
      </c>
    </row>
    <row r="88" spans="1:8" x14ac:dyDescent="0.2">
      <c r="A88" s="71"/>
      <c r="B88" s="13">
        <v>10</v>
      </c>
      <c r="C88" s="13">
        <v>448953</v>
      </c>
      <c r="D88" s="14" t="s">
        <v>22</v>
      </c>
      <c r="E88" s="15" t="s">
        <v>13</v>
      </c>
      <c r="F88" s="97">
        <f>701*11</f>
        <v>7711</v>
      </c>
      <c r="G88" s="16">
        <v>51.82</v>
      </c>
      <c r="H88" s="23">
        <f t="shared" si="2"/>
        <v>399584.02</v>
      </c>
    </row>
    <row r="89" spans="1:8" x14ac:dyDescent="0.2">
      <c r="A89" s="71"/>
      <c r="B89" s="13">
        <v>11</v>
      </c>
      <c r="C89" s="13">
        <v>617794</v>
      </c>
      <c r="D89" s="14" t="s">
        <v>23</v>
      </c>
      <c r="E89" s="15" t="s">
        <v>13</v>
      </c>
      <c r="F89" s="97">
        <v>528</v>
      </c>
      <c r="G89" s="16">
        <v>50.4</v>
      </c>
      <c r="H89" s="23">
        <f t="shared" si="2"/>
        <v>26611.200000000001</v>
      </c>
    </row>
    <row r="90" spans="1:8" x14ac:dyDescent="0.2">
      <c r="A90" s="71"/>
      <c r="B90" s="13">
        <v>12</v>
      </c>
      <c r="C90" s="13">
        <v>446706</v>
      </c>
      <c r="D90" s="14" t="s">
        <v>24</v>
      </c>
      <c r="E90" s="15" t="s">
        <v>25</v>
      </c>
      <c r="F90" s="97">
        <f>961*3</f>
        <v>2883</v>
      </c>
      <c r="G90" s="16">
        <v>11.94</v>
      </c>
      <c r="H90" s="23">
        <f t="shared" si="2"/>
        <v>34423.019999999997</v>
      </c>
    </row>
    <row r="91" spans="1:8" x14ac:dyDescent="0.2">
      <c r="A91" s="71"/>
      <c r="B91" s="13">
        <v>13</v>
      </c>
      <c r="C91" s="13">
        <v>446706</v>
      </c>
      <c r="D91" s="14" t="s">
        <v>26</v>
      </c>
      <c r="E91" s="15" t="s">
        <v>25</v>
      </c>
      <c r="F91" s="97">
        <f>961*4</f>
        <v>3844</v>
      </c>
      <c r="G91" s="16">
        <v>11.62</v>
      </c>
      <c r="H91" s="23">
        <f t="shared" si="2"/>
        <v>44667.28</v>
      </c>
    </row>
    <row r="92" spans="1:8" x14ac:dyDescent="0.2">
      <c r="A92" s="71"/>
      <c r="B92" s="13">
        <v>14</v>
      </c>
      <c r="C92" s="13">
        <v>445995</v>
      </c>
      <c r="D92" s="14" t="s">
        <v>27</v>
      </c>
      <c r="E92" s="15" t="s">
        <v>25</v>
      </c>
      <c r="F92" s="97">
        <f>277*8</f>
        <v>2216</v>
      </c>
      <c r="G92" s="16">
        <v>4.3600000000000003</v>
      </c>
      <c r="H92" s="23">
        <f t="shared" si="2"/>
        <v>9661.76</v>
      </c>
    </row>
    <row r="93" spans="1:8" x14ac:dyDescent="0.2">
      <c r="A93" s="71"/>
      <c r="B93" s="13">
        <v>15</v>
      </c>
      <c r="C93" s="13">
        <v>282783</v>
      </c>
      <c r="D93" s="14" t="s">
        <v>28</v>
      </c>
      <c r="E93" s="15" t="s">
        <v>13</v>
      </c>
      <c r="F93" s="97">
        <v>176</v>
      </c>
      <c r="G93" s="16">
        <v>47.07</v>
      </c>
      <c r="H93" s="23">
        <f t="shared" si="2"/>
        <v>8284.32</v>
      </c>
    </row>
    <row r="94" spans="1:8" x14ac:dyDescent="0.2">
      <c r="A94" s="71"/>
      <c r="B94" s="13">
        <v>16</v>
      </c>
      <c r="C94" s="13">
        <v>464468</v>
      </c>
      <c r="D94" s="14" t="s">
        <v>29</v>
      </c>
      <c r="E94" s="15" t="s">
        <v>13</v>
      </c>
      <c r="F94" s="97">
        <f>2754*5</f>
        <v>13770</v>
      </c>
      <c r="G94" s="16">
        <v>20.91</v>
      </c>
      <c r="H94" s="23">
        <f t="shared" si="2"/>
        <v>287930.7</v>
      </c>
    </row>
    <row r="95" spans="1:8" x14ac:dyDescent="0.2">
      <c r="A95" s="71"/>
      <c r="B95" s="13">
        <v>17</v>
      </c>
      <c r="C95" s="13">
        <v>464484</v>
      </c>
      <c r="D95" s="14" t="s">
        <v>30</v>
      </c>
      <c r="E95" s="15" t="s">
        <v>13</v>
      </c>
      <c r="F95" s="97">
        <f>2789*6</f>
        <v>16734</v>
      </c>
      <c r="G95" s="16">
        <v>20.3</v>
      </c>
      <c r="H95" s="23">
        <f t="shared" si="2"/>
        <v>339700.2</v>
      </c>
    </row>
    <row r="96" spans="1:8" x14ac:dyDescent="0.2">
      <c r="A96" s="71"/>
      <c r="B96" s="13">
        <v>18</v>
      </c>
      <c r="C96" s="13">
        <v>464514</v>
      </c>
      <c r="D96" s="14" t="s">
        <v>31</v>
      </c>
      <c r="E96" s="15" t="s">
        <v>13</v>
      </c>
      <c r="F96" s="97">
        <f>2789*6</f>
        <v>16734</v>
      </c>
      <c r="G96" s="16">
        <v>18.36</v>
      </c>
      <c r="H96" s="23">
        <f t="shared" si="2"/>
        <v>307236.24</v>
      </c>
    </row>
    <row r="97" spans="1:8" x14ac:dyDescent="0.2">
      <c r="A97" s="71"/>
      <c r="B97" s="13">
        <v>19</v>
      </c>
      <c r="C97" s="13">
        <v>464491</v>
      </c>
      <c r="D97" s="14" t="s">
        <v>32</v>
      </c>
      <c r="E97" s="15" t="s">
        <v>13</v>
      </c>
      <c r="F97" s="97">
        <f>1256*4</f>
        <v>5024</v>
      </c>
      <c r="G97" s="16">
        <v>25.8</v>
      </c>
      <c r="H97" s="23">
        <f t="shared" si="2"/>
        <v>129619.2</v>
      </c>
    </row>
    <row r="98" spans="1:8" x14ac:dyDescent="0.2">
      <c r="A98" s="71"/>
      <c r="B98" s="13">
        <v>20</v>
      </c>
      <c r="C98" s="13">
        <v>282785</v>
      </c>
      <c r="D98" s="14" t="s">
        <v>33</v>
      </c>
      <c r="E98" s="15" t="s">
        <v>13</v>
      </c>
      <c r="F98" s="97">
        <f>2789*5</f>
        <v>13945</v>
      </c>
      <c r="G98" s="16">
        <v>25.38</v>
      </c>
      <c r="H98" s="23">
        <f t="shared" si="2"/>
        <v>353924.1</v>
      </c>
    </row>
    <row r="99" spans="1:8" x14ac:dyDescent="0.2">
      <c r="A99" s="71"/>
      <c r="B99" s="13">
        <v>21</v>
      </c>
      <c r="C99" s="13">
        <v>464474</v>
      </c>
      <c r="D99" s="14" t="s">
        <v>34</v>
      </c>
      <c r="E99" s="15" t="s">
        <v>13</v>
      </c>
      <c r="F99" s="97">
        <f>2789*5</f>
        <v>13945</v>
      </c>
      <c r="G99" s="16">
        <v>30.3</v>
      </c>
      <c r="H99" s="23">
        <f t="shared" si="2"/>
        <v>422533.5</v>
      </c>
    </row>
    <row r="100" spans="1:8" x14ac:dyDescent="0.2">
      <c r="A100" s="71"/>
      <c r="B100" s="13">
        <v>22</v>
      </c>
      <c r="C100" s="13">
        <v>464475</v>
      </c>
      <c r="D100" s="14" t="s">
        <v>35</v>
      </c>
      <c r="E100" s="15" t="s">
        <v>13</v>
      </c>
      <c r="F100" s="97">
        <f>2154*4</f>
        <v>8616</v>
      </c>
      <c r="G100" s="16">
        <v>18.68</v>
      </c>
      <c r="H100" s="23">
        <f t="shared" si="2"/>
        <v>160946.88</v>
      </c>
    </row>
    <row r="101" spans="1:8" x14ac:dyDescent="0.2">
      <c r="A101" s="71"/>
      <c r="B101" s="13">
        <v>23</v>
      </c>
      <c r="C101" s="13">
        <v>464485</v>
      </c>
      <c r="D101" s="14" t="s">
        <v>36</v>
      </c>
      <c r="E101" s="15" t="s">
        <v>13</v>
      </c>
      <c r="F101" s="97">
        <f>1163*3</f>
        <v>3489</v>
      </c>
      <c r="G101" s="16">
        <v>23.04</v>
      </c>
      <c r="H101" s="23">
        <f t="shared" si="2"/>
        <v>80386.559999999998</v>
      </c>
    </row>
    <row r="102" spans="1:8" x14ac:dyDescent="0.2">
      <c r="A102" s="71"/>
      <c r="B102" s="13">
        <v>24</v>
      </c>
      <c r="C102" s="13">
        <v>282786</v>
      </c>
      <c r="D102" s="14" t="s">
        <v>37</v>
      </c>
      <c r="E102" s="15" t="s">
        <v>13</v>
      </c>
      <c r="F102" s="97">
        <v>585</v>
      </c>
      <c r="G102" s="16">
        <v>25.83</v>
      </c>
      <c r="H102" s="23">
        <f t="shared" si="2"/>
        <v>15110.55</v>
      </c>
    </row>
    <row r="103" spans="1:8" x14ac:dyDescent="0.2">
      <c r="A103" s="71"/>
      <c r="B103" s="13">
        <v>25</v>
      </c>
      <c r="C103" s="13">
        <v>464511</v>
      </c>
      <c r="D103" s="14" t="s">
        <v>38</v>
      </c>
      <c r="E103" s="15" t="s">
        <v>13</v>
      </c>
      <c r="F103" s="97">
        <f>903*2</f>
        <v>1806</v>
      </c>
      <c r="G103" s="16">
        <v>17.399999999999999</v>
      </c>
      <c r="H103" s="23">
        <f t="shared" si="2"/>
        <v>31424.399999999998</v>
      </c>
    </row>
    <row r="104" spans="1:8" x14ac:dyDescent="0.2">
      <c r="A104" s="71"/>
      <c r="B104" s="13">
        <v>26</v>
      </c>
      <c r="C104" s="13">
        <v>405351</v>
      </c>
      <c r="D104" s="14" t="s">
        <v>39</v>
      </c>
      <c r="E104" s="15" t="s">
        <v>13</v>
      </c>
      <c r="F104" s="97">
        <f>229*5</f>
        <v>1145</v>
      </c>
      <c r="G104" s="16">
        <v>38</v>
      </c>
      <c r="H104" s="23">
        <f t="shared" si="2"/>
        <v>43510</v>
      </c>
    </row>
    <row r="105" spans="1:8" x14ac:dyDescent="0.2">
      <c r="A105" s="71"/>
      <c r="B105" s="13">
        <v>27</v>
      </c>
      <c r="C105" s="13">
        <v>446393</v>
      </c>
      <c r="D105" s="14" t="s">
        <v>40</v>
      </c>
      <c r="E105" s="15" t="s">
        <v>13</v>
      </c>
      <c r="F105" s="97">
        <f>66*6</f>
        <v>396</v>
      </c>
      <c r="G105" s="16">
        <v>49.85</v>
      </c>
      <c r="H105" s="23">
        <f t="shared" si="2"/>
        <v>19740.600000000002</v>
      </c>
    </row>
    <row r="106" spans="1:8" x14ac:dyDescent="0.2">
      <c r="A106" s="71"/>
      <c r="B106" s="13">
        <v>28</v>
      </c>
      <c r="C106" s="13">
        <v>446633</v>
      </c>
      <c r="D106" s="14" t="s">
        <v>41</v>
      </c>
      <c r="E106" s="15" t="s">
        <v>13</v>
      </c>
      <c r="F106" s="97">
        <f>607*9</f>
        <v>5463</v>
      </c>
      <c r="G106" s="16">
        <v>46.79</v>
      </c>
      <c r="H106" s="23">
        <f t="shared" si="2"/>
        <v>255613.77</v>
      </c>
    </row>
    <row r="107" spans="1:8" x14ac:dyDescent="0.2">
      <c r="A107" s="71"/>
      <c r="B107" s="13">
        <v>29</v>
      </c>
      <c r="C107" s="13">
        <v>282788</v>
      </c>
      <c r="D107" s="14" t="s">
        <v>42</v>
      </c>
      <c r="E107" s="15" t="s">
        <v>13</v>
      </c>
      <c r="F107" s="97">
        <v>369</v>
      </c>
      <c r="G107" s="16">
        <v>37.25</v>
      </c>
      <c r="H107" s="23">
        <f t="shared" si="2"/>
        <v>13745.25</v>
      </c>
    </row>
    <row r="108" spans="1:8" x14ac:dyDescent="0.2">
      <c r="A108" s="71"/>
      <c r="B108" s="13">
        <v>30</v>
      </c>
      <c r="C108" s="13">
        <v>470690</v>
      </c>
      <c r="D108" s="14" t="s">
        <v>43</v>
      </c>
      <c r="E108" s="15" t="s">
        <v>13</v>
      </c>
      <c r="F108" s="97">
        <v>701</v>
      </c>
      <c r="G108" s="16">
        <v>29.93</v>
      </c>
      <c r="H108" s="23">
        <f t="shared" si="2"/>
        <v>20980.93</v>
      </c>
    </row>
    <row r="109" spans="1:8" x14ac:dyDescent="0.2">
      <c r="A109" s="71"/>
      <c r="B109" s="13">
        <v>31</v>
      </c>
      <c r="C109" s="13">
        <v>460397</v>
      </c>
      <c r="D109" s="14" t="s">
        <v>44</v>
      </c>
      <c r="E109" s="15" t="s">
        <v>13</v>
      </c>
      <c r="F109" s="97">
        <v>293</v>
      </c>
      <c r="G109" s="16">
        <v>20.7</v>
      </c>
      <c r="H109" s="23">
        <f t="shared" si="2"/>
        <v>6065.0999999999995</v>
      </c>
    </row>
    <row r="110" spans="1:8" ht="13.5" thickBot="1" x14ac:dyDescent="0.25">
      <c r="A110" s="71"/>
      <c r="B110" s="13">
        <v>32</v>
      </c>
      <c r="C110" s="13">
        <v>458919</v>
      </c>
      <c r="D110" s="14" t="s">
        <v>45</v>
      </c>
      <c r="E110" s="15" t="s">
        <v>13</v>
      </c>
      <c r="F110" s="97">
        <v>63</v>
      </c>
      <c r="G110" s="16">
        <v>5.27</v>
      </c>
      <c r="H110" s="23">
        <f t="shared" si="2"/>
        <v>332.01</v>
      </c>
    </row>
    <row r="111" spans="1:8" ht="13.5" thickBot="1" x14ac:dyDescent="0.25">
      <c r="A111" s="76" t="s">
        <v>46</v>
      </c>
      <c r="B111" s="77"/>
      <c r="C111" s="77"/>
      <c r="D111" s="77"/>
      <c r="E111" s="77"/>
      <c r="F111" s="77"/>
      <c r="G111" s="78"/>
      <c r="H111" s="25">
        <f>SUM(H79:H110)</f>
        <v>3354534.0799999996</v>
      </c>
    </row>
    <row r="112" spans="1:8" ht="13.5" thickBot="1" x14ac:dyDescent="0.25"/>
    <row r="113" spans="1:8" ht="13.5" thickBot="1" x14ac:dyDescent="0.25">
      <c r="A113" s="5" t="s">
        <v>51</v>
      </c>
      <c r="B113" s="6"/>
      <c r="C113" s="6"/>
      <c r="D113" s="6"/>
      <c r="E113" s="6"/>
      <c r="F113" s="6"/>
      <c r="G113" s="7"/>
      <c r="H113" s="8"/>
    </row>
    <row r="114" spans="1:8" ht="13.5" thickBot="1" x14ac:dyDescent="0.25">
      <c r="A114" s="9" t="s">
        <v>3</v>
      </c>
      <c r="B114" s="10" t="s">
        <v>4</v>
      </c>
      <c r="C114" s="10" t="s">
        <v>5</v>
      </c>
      <c r="D114" s="10" t="s">
        <v>6</v>
      </c>
      <c r="E114" s="10" t="s">
        <v>7</v>
      </c>
      <c r="F114" s="10" t="s">
        <v>8</v>
      </c>
      <c r="G114" s="11" t="s">
        <v>9</v>
      </c>
      <c r="H114" s="12" t="s">
        <v>10</v>
      </c>
    </row>
    <row r="115" spans="1:8" x14ac:dyDescent="0.2">
      <c r="A115" s="70" t="s">
        <v>52</v>
      </c>
      <c r="B115" s="13">
        <v>1</v>
      </c>
      <c r="C115" s="13">
        <v>282769</v>
      </c>
      <c r="D115" s="14" t="s">
        <v>12</v>
      </c>
      <c r="E115" s="15" t="s">
        <v>13</v>
      </c>
      <c r="F115" s="96">
        <f>19*7</f>
        <v>133</v>
      </c>
      <c r="G115" s="16">
        <v>29.1</v>
      </c>
      <c r="H115" s="22">
        <f>F115*G115</f>
        <v>3870.3</v>
      </c>
    </row>
    <row r="116" spans="1:8" x14ac:dyDescent="0.2">
      <c r="A116" s="71"/>
      <c r="B116" s="13">
        <v>2</v>
      </c>
      <c r="C116" s="13">
        <v>458921</v>
      </c>
      <c r="D116" s="14" t="s">
        <v>14</v>
      </c>
      <c r="E116" s="15" t="s">
        <v>13</v>
      </c>
      <c r="F116" s="97">
        <f>62*5</f>
        <v>310</v>
      </c>
      <c r="G116" s="16">
        <v>7.68</v>
      </c>
      <c r="H116" s="23">
        <f t="shared" ref="H116:H146" si="3">F116*G116</f>
        <v>2380.7999999999997</v>
      </c>
    </row>
    <row r="117" spans="1:8" x14ac:dyDescent="0.2">
      <c r="A117" s="71"/>
      <c r="B117" s="13">
        <v>3</v>
      </c>
      <c r="C117" s="13">
        <v>464553</v>
      </c>
      <c r="D117" s="14" t="s">
        <v>15</v>
      </c>
      <c r="E117" s="15" t="s">
        <v>13</v>
      </c>
      <c r="F117" s="97">
        <f>684*9</f>
        <v>6156</v>
      </c>
      <c r="G117" s="16">
        <v>6.91</v>
      </c>
      <c r="H117" s="23">
        <f t="shared" si="3"/>
        <v>42537.96</v>
      </c>
    </row>
    <row r="118" spans="1:8" x14ac:dyDescent="0.2">
      <c r="A118" s="71"/>
      <c r="B118" s="13">
        <v>4</v>
      </c>
      <c r="C118" s="13">
        <v>464552</v>
      </c>
      <c r="D118" s="14" t="s">
        <v>16</v>
      </c>
      <c r="E118" s="15" t="s">
        <v>13</v>
      </c>
      <c r="F118" s="97">
        <f>684*9</f>
        <v>6156</v>
      </c>
      <c r="G118" s="16">
        <v>9.8800000000000008</v>
      </c>
      <c r="H118" s="23">
        <f t="shared" si="3"/>
        <v>60821.280000000006</v>
      </c>
    </row>
    <row r="119" spans="1:8" x14ac:dyDescent="0.2">
      <c r="A119" s="71"/>
      <c r="B119" s="13">
        <v>5</v>
      </c>
      <c r="C119" s="13">
        <v>464558</v>
      </c>
      <c r="D119" s="14" t="s">
        <v>17</v>
      </c>
      <c r="E119" s="15" t="s">
        <v>13</v>
      </c>
      <c r="F119" s="97">
        <f>464*9</f>
        <v>4176</v>
      </c>
      <c r="G119" s="16">
        <v>11.16</v>
      </c>
      <c r="H119" s="23">
        <f t="shared" si="3"/>
        <v>46604.160000000003</v>
      </c>
    </row>
    <row r="120" spans="1:8" x14ac:dyDescent="0.2">
      <c r="A120" s="71"/>
      <c r="B120" s="13">
        <v>6</v>
      </c>
      <c r="C120" s="13">
        <v>470688</v>
      </c>
      <c r="D120" s="14" t="s">
        <v>18</v>
      </c>
      <c r="E120" s="15" t="s">
        <v>13</v>
      </c>
      <c r="F120" s="97">
        <f>60*4</f>
        <v>240</v>
      </c>
      <c r="G120" s="16">
        <v>6.93</v>
      </c>
      <c r="H120" s="23">
        <f t="shared" si="3"/>
        <v>1663.1999999999998</v>
      </c>
    </row>
    <row r="121" spans="1:8" x14ac:dyDescent="0.2">
      <c r="A121" s="71"/>
      <c r="B121" s="13">
        <v>7</v>
      </c>
      <c r="C121" s="13">
        <v>606522</v>
      </c>
      <c r="D121" s="14" t="s">
        <v>19</v>
      </c>
      <c r="E121" s="15" t="s">
        <v>13</v>
      </c>
      <c r="F121" s="97">
        <f>27*2</f>
        <v>54</v>
      </c>
      <c r="G121" s="16">
        <v>64.09</v>
      </c>
      <c r="H121" s="23">
        <f t="shared" si="3"/>
        <v>3460.86</v>
      </c>
    </row>
    <row r="122" spans="1:8" x14ac:dyDescent="0.2">
      <c r="A122" s="71"/>
      <c r="B122" s="13">
        <v>8</v>
      </c>
      <c r="C122" s="13">
        <v>222996</v>
      </c>
      <c r="D122" s="14" t="s">
        <v>20</v>
      </c>
      <c r="E122" s="15" t="s">
        <v>13</v>
      </c>
      <c r="F122" s="97">
        <f>113*5</f>
        <v>565</v>
      </c>
      <c r="G122" s="16">
        <v>54.51</v>
      </c>
      <c r="H122" s="23">
        <f t="shared" si="3"/>
        <v>30798.149999999998</v>
      </c>
    </row>
    <row r="123" spans="1:8" x14ac:dyDescent="0.2">
      <c r="A123" s="71"/>
      <c r="B123" s="13">
        <v>9</v>
      </c>
      <c r="C123" s="13">
        <v>462666</v>
      </c>
      <c r="D123" s="14" t="s">
        <v>21</v>
      </c>
      <c r="E123" s="15" t="s">
        <v>13</v>
      </c>
      <c r="F123" s="97">
        <f>113*5</f>
        <v>565</v>
      </c>
      <c r="G123" s="16">
        <v>51</v>
      </c>
      <c r="H123" s="23">
        <f t="shared" si="3"/>
        <v>28815</v>
      </c>
    </row>
    <row r="124" spans="1:8" x14ac:dyDescent="0.2">
      <c r="A124" s="71"/>
      <c r="B124" s="13">
        <v>10</v>
      </c>
      <c r="C124" s="13">
        <v>448953</v>
      </c>
      <c r="D124" s="14" t="s">
        <v>22</v>
      </c>
      <c r="E124" s="15" t="s">
        <v>13</v>
      </c>
      <c r="F124" s="97">
        <f>456*11</f>
        <v>5016</v>
      </c>
      <c r="G124" s="16">
        <v>52</v>
      </c>
      <c r="H124" s="23">
        <f t="shared" si="3"/>
        <v>260832</v>
      </c>
    </row>
    <row r="125" spans="1:8" x14ac:dyDescent="0.2">
      <c r="A125" s="71"/>
      <c r="B125" s="13">
        <v>11</v>
      </c>
      <c r="C125" s="13">
        <v>617794</v>
      </c>
      <c r="D125" s="14" t="s">
        <v>23</v>
      </c>
      <c r="E125" s="15" t="s">
        <v>13</v>
      </c>
      <c r="F125" s="97">
        <v>340</v>
      </c>
      <c r="G125" s="16">
        <v>50.51</v>
      </c>
      <c r="H125" s="23">
        <f t="shared" si="3"/>
        <v>17173.399999999998</v>
      </c>
    </row>
    <row r="126" spans="1:8" x14ac:dyDescent="0.2">
      <c r="A126" s="71"/>
      <c r="B126" s="13">
        <v>12</v>
      </c>
      <c r="C126" s="13">
        <v>446706</v>
      </c>
      <c r="D126" s="14" t="s">
        <v>24</v>
      </c>
      <c r="E126" s="15" t="s">
        <v>25</v>
      </c>
      <c r="F126" s="97">
        <f>627*3</f>
        <v>1881</v>
      </c>
      <c r="G126" s="16">
        <v>11.94</v>
      </c>
      <c r="H126" s="23">
        <f t="shared" si="3"/>
        <v>22459.14</v>
      </c>
    </row>
    <row r="127" spans="1:8" x14ac:dyDescent="0.2">
      <c r="A127" s="71"/>
      <c r="B127" s="13">
        <v>13</v>
      </c>
      <c r="C127" s="13">
        <v>446706</v>
      </c>
      <c r="D127" s="14" t="s">
        <v>26</v>
      </c>
      <c r="E127" s="15" t="s">
        <v>25</v>
      </c>
      <c r="F127" s="97">
        <f>627*4</f>
        <v>2508</v>
      </c>
      <c r="G127" s="16">
        <v>11.62</v>
      </c>
      <c r="H127" s="23">
        <f t="shared" si="3"/>
        <v>29142.959999999999</v>
      </c>
    </row>
    <row r="128" spans="1:8" x14ac:dyDescent="0.2">
      <c r="A128" s="71"/>
      <c r="B128" s="13">
        <v>14</v>
      </c>
      <c r="C128" s="13">
        <v>445995</v>
      </c>
      <c r="D128" s="14" t="s">
        <v>27</v>
      </c>
      <c r="E128" s="15" t="s">
        <v>25</v>
      </c>
      <c r="F128" s="97">
        <f>180*8</f>
        <v>1440</v>
      </c>
      <c r="G128" s="16">
        <v>4.3600000000000003</v>
      </c>
      <c r="H128" s="23">
        <f t="shared" si="3"/>
        <v>6278.4000000000005</v>
      </c>
    </row>
    <row r="129" spans="1:8" x14ac:dyDescent="0.2">
      <c r="A129" s="71"/>
      <c r="B129" s="13">
        <v>15</v>
      </c>
      <c r="C129" s="13">
        <v>282783</v>
      </c>
      <c r="D129" s="14" t="s">
        <v>28</v>
      </c>
      <c r="E129" s="15" t="s">
        <v>13</v>
      </c>
      <c r="F129" s="97">
        <v>113</v>
      </c>
      <c r="G129" s="16">
        <v>48</v>
      </c>
      <c r="H129" s="23">
        <f t="shared" si="3"/>
        <v>5424</v>
      </c>
    </row>
    <row r="130" spans="1:8" x14ac:dyDescent="0.2">
      <c r="A130" s="71"/>
      <c r="B130" s="13">
        <v>16</v>
      </c>
      <c r="C130" s="13">
        <v>464468</v>
      </c>
      <c r="D130" s="14" t="s">
        <v>29</v>
      </c>
      <c r="E130" s="15" t="s">
        <v>13</v>
      </c>
      <c r="F130" s="97">
        <f>1793*5</f>
        <v>8965</v>
      </c>
      <c r="G130" s="16">
        <v>20.66</v>
      </c>
      <c r="H130" s="23">
        <f t="shared" si="3"/>
        <v>185216.9</v>
      </c>
    </row>
    <row r="131" spans="1:8" x14ac:dyDescent="0.2">
      <c r="A131" s="71"/>
      <c r="B131" s="13">
        <v>17</v>
      </c>
      <c r="C131" s="13">
        <v>464484</v>
      </c>
      <c r="D131" s="14" t="s">
        <v>30</v>
      </c>
      <c r="E131" s="15" t="s">
        <v>13</v>
      </c>
      <c r="F131" s="97">
        <f>1818*6</f>
        <v>10908</v>
      </c>
      <c r="G131" s="16">
        <v>20.21</v>
      </c>
      <c r="H131" s="23">
        <f t="shared" si="3"/>
        <v>220450.68000000002</v>
      </c>
    </row>
    <row r="132" spans="1:8" x14ac:dyDescent="0.2">
      <c r="A132" s="71"/>
      <c r="B132" s="13">
        <v>18</v>
      </c>
      <c r="C132" s="13">
        <v>464514</v>
      </c>
      <c r="D132" s="14" t="s">
        <v>31</v>
      </c>
      <c r="E132" s="15" t="s">
        <v>13</v>
      </c>
      <c r="F132" s="97">
        <f>1818*6</f>
        <v>10908</v>
      </c>
      <c r="G132" s="16">
        <v>18.07</v>
      </c>
      <c r="H132" s="23">
        <f t="shared" si="3"/>
        <v>197107.56</v>
      </c>
    </row>
    <row r="133" spans="1:8" x14ac:dyDescent="0.2">
      <c r="A133" s="71"/>
      <c r="B133" s="13">
        <v>19</v>
      </c>
      <c r="C133" s="13">
        <v>464491</v>
      </c>
      <c r="D133" s="14" t="s">
        <v>32</v>
      </c>
      <c r="E133" s="15" t="s">
        <v>13</v>
      </c>
      <c r="F133" s="97">
        <f>816*4</f>
        <v>3264</v>
      </c>
      <c r="G133" s="16">
        <v>25.65</v>
      </c>
      <c r="H133" s="23">
        <f t="shared" si="3"/>
        <v>83721.599999999991</v>
      </c>
    </row>
    <row r="134" spans="1:8" x14ac:dyDescent="0.2">
      <c r="A134" s="71"/>
      <c r="B134" s="13">
        <v>20</v>
      </c>
      <c r="C134" s="13">
        <v>282785</v>
      </c>
      <c r="D134" s="14" t="s">
        <v>33</v>
      </c>
      <c r="E134" s="15" t="s">
        <v>13</v>
      </c>
      <c r="F134" s="97">
        <f>1818*5</f>
        <v>9090</v>
      </c>
      <c r="G134" s="16">
        <v>25.24</v>
      </c>
      <c r="H134" s="23">
        <f t="shared" si="3"/>
        <v>229431.59999999998</v>
      </c>
    </row>
    <row r="135" spans="1:8" x14ac:dyDescent="0.2">
      <c r="A135" s="71"/>
      <c r="B135" s="13">
        <v>21</v>
      </c>
      <c r="C135" s="13">
        <v>464474</v>
      </c>
      <c r="D135" s="14" t="s">
        <v>34</v>
      </c>
      <c r="E135" s="15" t="s">
        <v>13</v>
      </c>
      <c r="F135" s="97">
        <f>1818*5</f>
        <v>9090</v>
      </c>
      <c r="G135" s="16">
        <v>30.57</v>
      </c>
      <c r="H135" s="23">
        <f t="shared" si="3"/>
        <v>277881.3</v>
      </c>
    </row>
    <row r="136" spans="1:8" x14ac:dyDescent="0.2">
      <c r="A136" s="71"/>
      <c r="B136" s="13">
        <v>22</v>
      </c>
      <c r="C136" s="13">
        <v>464475</v>
      </c>
      <c r="D136" s="14" t="s">
        <v>35</v>
      </c>
      <c r="E136" s="15" t="s">
        <v>13</v>
      </c>
      <c r="F136" s="97">
        <f>1408*4</f>
        <v>5632</v>
      </c>
      <c r="G136" s="16">
        <v>18.61</v>
      </c>
      <c r="H136" s="23">
        <f t="shared" si="3"/>
        <v>104811.51999999999</v>
      </c>
    </row>
    <row r="137" spans="1:8" x14ac:dyDescent="0.2">
      <c r="A137" s="71"/>
      <c r="B137" s="13">
        <v>23</v>
      </c>
      <c r="C137" s="13">
        <v>464485</v>
      </c>
      <c r="D137" s="14" t="s">
        <v>36</v>
      </c>
      <c r="E137" s="15" t="s">
        <v>13</v>
      </c>
      <c r="F137" s="97">
        <f>761*3</f>
        <v>2283</v>
      </c>
      <c r="G137" s="16">
        <v>23.21</v>
      </c>
      <c r="H137" s="23">
        <f t="shared" si="3"/>
        <v>52988.43</v>
      </c>
    </row>
    <row r="138" spans="1:8" x14ac:dyDescent="0.2">
      <c r="A138" s="71"/>
      <c r="B138" s="13">
        <v>24</v>
      </c>
      <c r="C138" s="13">
        <v>282786</v>
      </c>
      <c r="D138" s="14" t="s">
        <v>37</v>
      </c>
      <c r="E138" s="15" t="s">
        <v>13</v>
      </c>
      <c r="F138" s="97">
        <v>382</v>
      </c>
      <c r="G138" s="16">
        <v>25.92</v>
      </c>
      <c r="H138" s="23">
        <f t="shared" si="3"/>
        <v>9901.44</v>
      </c>
    </row>
    <row r="139" spans="1:8" x14ac:dyDescent="0.2">
      <c r="A139" s="71"/>
      <c r="B139" s="13">
        <v>25</v>
      </c>
      <c r="C139" s="13">
        <v>464511</v>
      </c>
      <c r="D139" s="14" t="s">
        <v>38</v>
      </c>
      <c r="E139" s="15" t="s">
        <v>13</v>
      </c>
      <c r="F139" s="97">
        <f>587*2</f>
        <v>1174</v>
      </c>
      <c r="G139" s="16">
        <v>17.399999999999999</v>
      </c>
      <c r="H139" s="23">
        <f t="shared" si="3"/>
        <v>20427.599999999999</v>
      </c>
    </row>
    <row r="140" spans="1:8" x14ac:dyDescent="0.2">
      <c r="A140" s="71"/>
      <c r="B140" s="13">
        <v>26</v>
      </c>
      <c r="C140" s="13">
        <v>405351</v>
      </c>
      <c r="D140" s="14" t="s">
        <v>39</v>
      </c>
      <c r="E140" s="15" t="s">
        <v>13</v>
      </c>
      <c r="F140" s="97">
        <f>148*5</f>
        <v>740</v>
      </c>
      <c r="G140" s="16">
        <v>38</v>
      </c>
      <c r="H140" s="23">
        <f t="shared" si="3"/>
        <v>28120</v>
      </c>
    </row>
    <row r="141" spans="1:8" x14ac:dyDescent="0.2">
      <c r="A141" s="71"/>
      <c r="B141" s="13">
        <v>27</v>
      </c>
      <c r="C141" s="13">
        <v>446393</v>
      </c>
      <c r="D141" s="14" t="s">
        <v>40</v>
      </c>
      <c r="E141" s="15" t="s">
        <v>13</v>
      </c>
      <c r="F141" s="97">
        <f>40*6</f>
        <v>240</v>
      </c>
      <c r="G141" s="16">
        <v>49.85</v>
      </c>
      <c r="H141" s="23">
        <f t="shared" si="3"/>
        <v>11964</v>
      </c>
    </row>
    <row r="142" spans="1:8" x14ac:dyDescent="0.2">
      <c r="A142" s="71"/>
      <c r="B142" s="13">
        <v>28</v>
      </c>
      <c r="C142" s="13">
        <v>446633</v>
      </c>
      <c r="D142" s="14" t="s">
        <v>41</v>
      </c>
      <c r="E142" s="15" t="s">
        <v>13</v>
      </c>
      <c r="F142" s="97">
        <f>395*9</f>
        <v>3555</v>
      </c>
      <c r="G142" s="16">
        <v>46.79</v>
      </c>
      <c r="H142" s="23">
        <f t="shared" si="3"/>
        <v>166338.44999999998</v>
      </c>
    </row>
    <row r="143" spans="1:8" x14ac:dyDescent="0.2">
      <c r="A143" s="71"/>
      <c r="B143" s="13">
        <v>29</v>
      </c>
      <c r="C143" s="13">
        <v>282788</v>
      </c>
      <c r="D143" s="14" t="s">
        <v>42</v>
      </c>
      <c r="E143" s="15" t="s">
        <v>13</v>
      </c>
      <c r="F143" s="97">
        <v>239</v>
      </c>
      <c r="G143" s="16">
        <v>37.25</v>
      </c>
      <c r="H143" s="23">
        <f t="shared" si="3"/>
        <v>8902.75</v>
      </c>
    </row>
    <row r="144" spans="1:8" x14ac:dyDescent="0.2">
      <c r="A144" s="71"/>
      <c r="B144" s="13">
        <v>30</v>
      </c>
      <c r="C144" s="13">
        <v>470690</v>
      </c>
      <c r="D144" s="14" t="s">
        <v>43</v>
      </c>
      <c r="E144" s="15" t="s">
        <v>13</v>
      </c>
      <c r="F144" s="97">
        <v>456</v>
      </c>
      <c r="G144" s="16">
        <v>29.93</v>
      </c>
      <c r="H144" s="23">
        <f t="shared" si="3"/>
        <v>13648.08</v>
      </c>
    </row>
    <row r="145" spans="1:8" x14ac:dyDescent="0.2">
      <c r="A145" s="71"/>
      <c r="B145" s="13">
        <v>31</v>
      </c>
      <c r="C145" s="13">
        <v>460397</v>
      </c>
      <c r="D145" s="14" t="s">
        <v>44</v>
      </c>
      <c r="E145" s="15" t="s">
        <v>13</v>
      </c>
      <c r="F145" s="97">
        <v>190</v>
      </c>
      <c r="G145" s="16">
        <v>20.7</v>
      </c>
      <c r="H145" s="23">
        <f t="shared" si="3"/>
        <v>3933</v>
      </c>
    </row>
    <row r="146" spans="1:8" ht="13.5" thickBot="1" x14ac:dyDescent="0.25">
      <c r="A146" s="71"/>
      <c r="B146" s="13">
        <v>32</v>
      </c>
      <c r="C146" s="13">
        <v>458919</v>
      </c>
      <c r="D146" s="14" t="s">
        <v>45</v>
      </c>
      <c r="E146" s="15" t="s">
        <v>13</v>
      </c>
      <c r="F146" s="97">
        <v>38</v>
      </c>
      <c r="G146" s="16">
        <v>5.27</v>
      </c>
      <c r="H146" s="23">
        <f t="shared" si="3"/>
        <v>200.26</v>
      </c>
    </row>
    <row r="147" spans="1:8" ht="13.5" thickBot="1" x14ac:dyDescent="0.25">
      <c r="A147" s="79" t="s">
        <v>46</v>
      </c>
      <c r="B147" s="80"/>
      <c r="C147" s="80"/>
      <c r="D147" s="80"/>
      <c r="E147" s="80"/>
      <c r="F147" s="80"/>
      <c r="G147" s="81"/>
      <c r="H147" s="20">
        <f>SUM(H115:H146)</f>
        <v>2177306.7800000003</v>
      </c>
    </row>
    <row r="148" spans="1:8" ht="13.5" thickBot="1" x14ac:dyDescent="0.25"/>
    <row r="149" spans="1:8" ht="13.5" thickBot="1" x14ac:dyDescent="0.25">
      <c r="A149" s="5" t="s">
        <v>53</v>
      </c>
      <c r="B149" s="6"/>
      <c r="C149" s="6"/>
      <c r="D149" s="6"/>
      <c r="E149" s="6"/>
      <c r="F149" s="6"/>
      <c r="G149" s="7"/>
      <c r="H149" s="8"/>
    </row>
    <row r="150" spans="1:8" ht="13.5" thickBot="1" x14ac:dyDescent="0.25">
      <c r="A150" s="9" t="s">
        <v>3</v>
      </c>
      <c r="B150" s="10" t="s">
        <v>4</v>
      </c>
      <c r="C150" s="10" t="s">
        <v>5</v>
      </c>
      <c r="D150" s="10" t="s">
        <v>6</v>
      </c>
      <c r="E150" s="10" t="s">
        <v>7</v>
      </c>
      <c r="F150" s="10" t="s">
        <v>8</v>
      </c>
      <c r="G150" s="11" t="s">
        <v>9</v>
      </c>
      <c r="H150" s="12" t="s">
        <v>10</v>
      </c>
    </row>
    <row r="151" spans="1:8" x14ac:dyDescent="0.2">
      <c r="A151" s="70" t="s">
        <v>54</v>
      </c>
      <c r="B151" s="13">
        <v>1</v>
      </c>
      <c r="C151" s="13">
        <v>282769</v>
      </c>
      <c r="D151" s="14" t="s">
        <v>12</v>
      </c>
      <c r="E151" s="15" t="s">
        <v>13</v>
      </c>
      <c r="F151" s="96">
        <f>32*7</f>
        <v>224</v>
      </c>
      <c r="G151" s="16">
        <v>29.2</v>
      </c>
      <c r="H151" s="22">
        <f>F151*G151</f>
        <v>6540.8</v>
      </c>
    </row>
    <row r="152" spans="1:8" x14ac:dyDescent="0.2">
      <c r="A152" s="71"/>
      <c r="B152" s="13">
        <v>2</v>
      </c>
      <c r="C152" s="13">
        <v>458921</v>
      </c>
      <c r="D152" s="14" t="s">
        <v>14</v>
      </c>
      <c r="E152" s="15" t="s">
        <v>13</v>
      </c>
      <c r="F152" s="97">
        <f>116*5</f>
        <v>580</v>
      </c>
      <c r="G152" s="16">
        <v>7.68</v>
      </c>
      <c r="H152" s="23">
        <f t="shared" ref="H152:H182" si="4">F152*G152</f>
        <v>4454.3999999999996</v>
      </c>
    </row>
    <row r="153" spans="1:8" x14ac:dyDescent="0.2">
      <c r="A153" s="71"/>
      <c r="B153" s="13">
        <v>3</v>
      </c>
      <c r="C153" s="13">
        <v>464553</v>
      </c>
      <c r="D153" s="14" t="s">
        <v>15</v>
      </c>
      <c r="E153" s="15" t="s">
        <v>13</v>
      </c>
      <c r="F153" s="97">
        <f>1245*9</f>
        <v>11205</v>
      </c>
      <c r="G153" s="16">
        <v>6.91</v>
      </c>
      <c r="H153" s="23">
        <f t="shared" si="4"/>
        <v>77426.55</v>
      </c>
    </row>
    <row r="154" spans="1:8" x14ac:dyDescent="0.2">
      <c r="A154" s="71"/>
      <c r="B154" s="13">
        <v>4</v>
      </c>
      <c r="C154" s="13">
        <v>464552</v>
      </c>
      <c r="D154" s="14" t="s">
        <v>16</v>
      </c>
      <c r="E154" s="15" t="s">
        <v>13</v>
      </c>
      <c r="F154" s="97">
        <f>1245*9</f>
        <v>11205</v>
      </c>
      <c r="G154" s="16">
        <v>9.92</v>
      </c>
      <c r="H154" s="23">
        <f t="shared" si="4"/>
        <v>111153.60000000001</v>
      </c>
    </row>
    <row r="155" spans="1:8" x14ac:dyDescent="0.2">
      <c r="A155" s="71"/>
      <c r="B155" s="13">
        <v>5</v>
      </c>
      <c r="C155" s="13">
        <v>464558</v>
      </c>
      <c r="D155" s="14" t="s">
        <v>17</v>
      </c>
      <c r="E155" s="15" t="s">
        <v>13</v>
      </c>
      <c r="F155" s="97">
        <f>863*9</f>
        <v>7767</v>
      </c>
      <c r="G155" s="16">
        <v>11.29</v>
      </c>
      <c r="H155" s="23">
        <f t="shared" si="4"/>
        <v>87689.43</v>
      </c>
    </row>
    <row r="156" spans="1:8" x14ac:dyDescent="0.2">
      <c r="A156" s="71"/>
      <c r="B156" s="13">
        <v>6</v>
      </c>
      <c r="C156" s="13">
        <v>470688</v>
      </c>
      <c r="D156" s="14" t="s">
        <v>18</v>
      </c>
      <c r="E156" s="15" t="s">
        <v>13</v>
      </c>
      <c r="F156" s="97">
        <f>112*4</f>
        <v>448</v>
      </c>
      <c r="G156" s="16">
        <v>6.76</v>
      </c>
      <c r="H156" s="23">
        <f t="shared" si="4"/>
        <v>3028.48</v>
      </c>
    </row>
    <row r="157" spans="1:8" x14ac:dyDescent="0.2">
      <c r="A157" s="71"/>
      <c r="B157" s="13">
        <v>7</v>
      </c>
      <c r="C157" s="13">
        <v>606522</v>
      </c>
      <c r="D157" s="14" t="s">
        <v>19</v>
      </c>
      <c r="E157" s="15" t="s">
        <v>13</v>
      </c>
      <c r="F157" s="97">
        <f>47*2</f>
        <v>94</v>
      </c>
      <c r="G157" s="16">
        <v>63.2</v>
      </c>
      <c r="H157" s="23">
        <f t="shared" si="4"/>
        <v>5940.8</v>
      </c>
    </row>
    <row r="158" spans="1:8" x14ac:dyDescent="0.2">
      <c r="A158" s="71"/>
      <c r="B158" s="13">
        <v>8</v>
      </c>
      <c r="C158" s="13">
        <v>222996</v>
      </c>
      <c r="D158" s="14" t="s">
        <v>20</v>
      </c>
      <c r="E158" s="15" t="s">
        <v>13</v>
      </c>
      <c r="F158" s="97">
        <f>208*5</f>
        <v>1040</v>
      </c>
      <c r="G158" s="16">
        <v>54.51</v>
      </c>
      <c r="H158" s="23">
        <f t="shared" si="4"/>
        <v>56690.400000000001</v>
      </c>
    </row>
    <row r="159" spans="1:8" x14ac:dyDescent="0.2">
      <c r="A159" s="71"/>
      <c r="B159" s="13">
        <v>9</v>
      </c>
      <c r="C159" s="13">
        <v>462666</v>
      </c>
      <c r="D159" s="14" t="s">
        <v>21</v>
      </c>
      <c r="E159" s="15" t="s">
        <v>13</v>
      </c>
      <c r="F159" s="97">
        <f>208*5</f>
        <v>1040</v>
      </c>
      <c r="G159" s="16">
        <v>51</v>
      </c>
      <c r="H159" s="23">
        <f t="shared" si="4"/>
        <v>53040</v>
      </c>
    </row>
    <row r="160" spans="1:8" x14ac:dyDescent="0.2">
      <c r="A160" s="71"/>
      <c r="B160" s="13">
        <v>10</v>
      </c>
      <c r="C160" s="13">
        <v>448953</v>
      </c>
      <c r="D160" s="14" t="s">
        <v>22</v>
      </c>
      <c r="E160" s="15" t="s">
        <v>13</v>
      </c>
      <c r="F160" s="97">
        <f>830*11</f>
        <v>9130</v>
      </c>
      <c r="G160" s="16">
        <v>52</v>
      </c>
      <c r="H160" s="23">
        <f t="shared" si="4"/>
        <v>474760</v>
      </c>
    </row>
    <row r="161" spans="1:8" x14ac:dyDescent="0.2">
      <c r="A161" s="71"/>
      <c r="B161" s="13">
        <v>11</v>
      </c>
      <c r="C161" s="13">
        <v>617794</v>
      </c>
      <c r="D161" s="14" t="s">
        <v>23</v>
      </c>
      <c r="E161" s="15" t="s">
        <v>13</v>
      </c>
      <c r="F161" s="97">
        <v>622</v>
      </c>
      <c r="G161" s="16">
        <v>46.81</v>
      </c>
      <c r="H161" s="23">
        <f t="shared" si="4"/>
        <v>29115.82</v>
      </c>
    </row>
    <row r="162" spans="1:8" x14ac:dyDescent="0.2">
      <c r="A162" s="71"/>
      <c r="B162" s="13">
        <v>12</v>
      </c>
      <c r="C162" s="13">
        <v>446706</v>
      </c>
      <c r="D162" s="14" t="s">
        <v>24</v>
      </c>
      <c r="E162" s="15" t="s">
        <v>25</v>
      </c>
      <c r="F162" s="97">
        <f>1139*3</f>
        <v>3417</v>
      </c>
      <c r="G162" s="16">
        <v>11.94</v>
      </c>
      <c r="H162" s="23">
        <f t="shared" si="4"/>
        <v>40798.979999999996</v>
      </c>
    </row>
    <row r="163" spans="1:8" x14ac:dyDescent="0.2">
      <c r="A163" s="71"/>
      <c r="B163" s="13">
        <v>13</v>
      </c>
      <c r="C163" s="13">
        <v>446706</v>
      </c>
      <c r="D163" s="14" t="s">
        <v>26</v>
      </c>
      <c r="E163" s="15" t="s">
        <v>25</v>
      </c>
      <c r="F163" s="97">
        <f>1139*4</f>
        <v>4556</v>
      </c>
      <c r="G163" s="16">
        <v>11.62</v>
      </c>
      <c r="H163" s="23">
        <f t="shared" si="4"/>
        <v>52940.719999999994</v>
      </c>
    </row>
    <row r="164" spans="1:8" x14ac:dyDescent="0.2">
      <c r="A164" s="71"/>
      <c r="B164" s="13">
        <v>14</v>
      </c>
      <c r="C164" s="13">
        <v>445995</v>
      </c>
      <c r="D164" s="14" t="s">
        <v>27</v>
      </c>
      <c r="E164" s="15" t="s">
        <v>25</v>
      </c>
      <c r="F164" s="97">
        <f>336*8</f>
        <v>2688</v>
      </c>
      <c r="G164" s="16">
        <v>4.3600000000000003</v>
      </c>
      <c r="H164" s="23">
        <f t="shared" si="4"/>
        <v>11719.68</v>
      </c>
    </row>
    <row r="165" spans="1:8" x14ac:dyDescent="0.2">
      <c r="A165" s="71"/>
      <c r="B165" s="13">
        <v>15</v>
      </c>
      <c r="C165" s="13">
        <v>282783</v>
      </c>
      <c r="D165" s="14" t="s">
        <v>28</v>
      </c>
      <c r="E165" s="15" t="s">
        <v>13</v>
      </c>
      <c r="F165" s="97">
        <v>207</v>
      </c>
      <c r="G165" s="16">
        <v>48</v>
      </c>
      <c r="H165" s="23">
        <f t="shared" si="4"/>
        <v>9936</v>
      </c>
    </row>
    <row r="166" spans="1:8" x14ac:dyDescent="0.2">
      <c r="A166" s="71"/>
      <c r="B166" s="13">
        <v>16</v>
      </c>
      <c r="C166" s="13">
        <v>464468</v>
      </c>
      <c r="D166" s="14" t="s">
        <v>29</v>
      </c>
      <c r="E166" s="15" t="s">
        <v>13</v>
      </c>
      <c r="F166" s="97">
        <f>3331*5</f>
        <v>16655</v>
      </c>
      <c r="G166" s="16">
        <v>20.84</v>
      </c>
      <c r="H166" s="23">
        <f t="shared" si="4"/>
        <v>347090.2</v>
      </c>
    </row>
    <row r="167" spans="1:8" x14ac:dyDescent="0.2">
      <c r="A167" s="71"/>
      <c r="B167" s="13">
        <v>17</v>
      </c>
      <c r="C167" s="13">
        <v>464484</v>
      </c>
      <c r="D167" s="14" t="s">
        <v>30</v>
      </c>
      <c r="E167" s="15" t="s">
        <v>13</v>
      </c>
      <c r="F167" s="97">
        <f>3442*6</f>
        <v>20652</v>
      </c>
      <c r="G167" s="16">
        <v>20.28</v>
      </c>
      <c r="H167" s="23">
        <f t="shared" si="4"/>
        <v>418822.56</v>
      </c>
    </row>
    <row r="168" spans="1:8" x14ac:dyDescent="0.2">
      <c r="A168" s="71"/>
      <c r="B168" s="13">
        <v>18</v>
      </c>
      <c r="C168" s="13">
        <v>464514</v>
      </c>
      <c r="D168" s="14" t="s">
        <v>31</v>
      </c>
      <c r="E168" s="15" t="s">
        <v>13</v>
      </c>
      <c r="F168" s="97">
        <f>3442*6</f>
        <v>20652</v>
      </c>
      <c r="G168" s="16">
        <v>18.440000000000001</v>
      </c>
      <c r="H168" s="23">
        <f t="shared" si="4"/>
        <v>380822.88</v>
      </c>
    </row>
    <row r="169" spans="1:8" x14ac:dyDescent="0.2">
      <c r="A169" s="71"/>
      <c r="B169" s="13">
        <v>19</v>
      </c>
      <c r="C169" s="13">
        <v>464491</v>
      </c>
      <c r="D169" s="14" t="s">
        <v>32</v>
      </c>
      <c r="E169" s="15" t="s">
        <v>13</v>
      </c>
      <c r="F169" s="97">
        <f>1526*4</f>
        <v>6104</v>
      </c>
      <c r="G169" s="16">
        <v>25.77</v>
      </c>
      <c r="H169" s="23">
        <f t="shared" si="4"/>
        <v>157300.07999999999</v>
      </c>
    </row>
    <row r="170" spans="1:8" x14ac:dyDescent="0.2">
      <c r="A170" s="71"/>
      <c r="B170" s="13">
        <v>20</v>
      </c>
      <c r="C170" s="13">
        <v>282785</v>
      </c>
      <c r="D170" s="14" t="s">
        <v>33</v>
      </c>
      <c r="E170" s="15" t="s">
        <v>13</v>
      </c>
      <c r="F170" s="97">
        <f>3442*5</f>
        <v>17210</v>
      </c>
      <c r="G170" s="16">
        <v>25.39</v>
      </c>
      <c r="H170" s="23">
        <f t="shared" si="4"/>
        <v>436961.9</v>
      </c>
    </row>
    <row r="171" spans="1:8" x14ac:dyDescent="0.2">
      <c r="A171" s="71"/>
      <c r="B171" s="13">
        <v>21</v>
      </c>
      <c r="C171" s="13">
        <v>464474</v>
      </c>
      <c r="D171" s="14" t="s">
        <v>34</v>
      </c>
      <c r="E171" s="15" t="s">
        <v>13</v>
      </c>
      <c r="F171" s="97">
        <f>3442*5</f>
        <v>17210</v>
      </c>
      <c r="G171" s="16">
        <v>30.49</v>
      </c>
      <c r="H171" s="23">
        <f t="shared" si="4"/>
        <v>524732.9</v>
      </c>
    </row>
    <row r="172" spans="1:8" x14ac:dyDescent="0.2">
      <c r="A172" s="71"/>
      <c r="B172" s="13">
        <v>22</v>
      </c>
      <c r="C172" s="13">
        <v>464475</v>
      </c>
      <c r="D172" s="14" t="s">
        <v>35</v>
      </c>
      <c r="E172" s="15" t="s">
        <v>13</v>
      </c>
      <c r="F172" s="97">
        <f>2716*4</f>
        <v>10864</v>
      </c>
      <c r="G172" s="16">
        <v>18.739999999999998</v>
      </c>
      <c r="H172" s="23">
        <f t="shared" si="4"/>
        <v>203591.36</v>
      </c>
    </row>
    <row r="173" spans="1:8" x14ac:dyDescent="0.2">
      <c r="A173" s="71"/>
      <c r="B173" s="13">
        <v>23</v>
      </c>
      <c r="C173" s="13">
        <v>464485</v>
      </c>
      <c r="D173" s="14" t="s">
        <v>36</v>
      </c>
      <c r="E173" s="15" t="s">
        <v>13</v>
      </c>
      <c r="F173" s="97">
        <f>1384*3</f>
        <v>4152</v>
      </c>
      <c r="G173" s="16">
        <v>23.04</v>
      </c>
      <c r="H173" s="23">
        <f t="shared" si="4"/>
        <v>95662.080000000002</v>
      </c>
    </row>
    <row r="174" spans="1:8" x14ac:dyDescent="0.2">
      <c r="A174" s="71"/>
      <c r="B174" s="13">
        <v>24</v>
      </c>
      <c r="C174" s="13">
        <v>282786</v>
      </c>
      <c r="D174" s="14" t="s">
        <v>37</v>
      </c>
      <c r="E174" s="15" t="s">
        <v>13</v>
      </c>
      <c r="F174" s="97">
        <v>694</v>
      </c>
      <c r="G174" s="16">
        <v>25.83</v>
      </c>
      <c r="H174" s="23">
        <f t="shared" si="4"/>
        <v>17926.02</v>
      </c>
    </row>
    <row r="175" spans="1:8" x14ac:dyDescent="0.2">
      <c r="A175" s="71"/>
      <c r="B175" s="13">
        <v>25</v>
      </c>
      <c r="C175" s="13">
        <v>464511</v>
      </c>
      <c r="D175" s="14" t="s">
        <v>38</v>
      </c>
      <c r="E175" s="15" t="s">
        <v>13</v>
      </c>
      <c r="F175" s="97">
        <f>1053*2</f>
        <v>2106</v>
      </c>
      <c r="G175" s="16">
        <v>17.399999999999999</v>
      </c>
      <c r="H175" s="23">
        <f t="shared" si="4"/>
        <v>36644.399999999994</v>
      </c>
    </row>
    <row r="176" spans="1:8" x14ac:dyDescent="0.2">
      <c r="A176" s="71"/>
      <c r="B176" s="13">
        <v>26</v>
      </c>
      <c r="C176" s="13">
        <v>405351</v>
      </c>
      <c r="D176" s="14" t="s">
        <v>39</v>
      </c>
      <c r="E176" s="15" t="s">
        <v>13</v>
      </c>
      <c r="F176" s="97">
        <f>280*5</f>
        <v>1400</v>
      </c>
      <c r="G176" s="16">
        <v>38</v>
      </c>
      <c r="H176" s="23">
        <f t="shared" si="4"/>
        <v>53200</v>
      </c>
    </row>
    <row r="177" spans="1:8" x14ac:dyDescent="0.2">
      <c r="A177" s="71"/>
      <c r="B177" s="13">
        <v>27</v>
      </c>
      <c r="C177" s="13">
        <v>446393</v>
      </c>
      <c r="D177" s="14" t="s">
        <v>40</v>
      </c>
      <c r="E177" s="15" t="s">
        <v>13</v>
      </c>
      <c r="F177" s="97">
        <f>77*6</f>
        <v>462</v>
      </c>
      <c r="G177" s="16">
        <v>49.85</v>
      </c>
      <c r="H177" s="23">
        <f t="shared" si="4"/>
        <v>23030.7</v>
      </c>
    </row>
    <row r="178" spans="1:8" x14ac:dyDescent="0.2">
      <c r="A178" s="71"/>
      <c r="B178" s="13">
        <v>28</v>
      </c>
      <c r="C178" s="13">
        <v>446633</v>
      </c>
      <c r="D178" s="14" t="s">
        <v>41</v>
      </c>
      <c r="E178" s="15" t="s">
        <v>13</v>
      </c>
      <c r="F178" s="97">
        <f>742*9</f>
        <v>6678</v>
      </c>
      <c r="G178" s="16">
        <v>46.79</v>
      </c>
      <c r="H178" s="23">
        <f t="shared" si="4"/>
        <v>312463.62</v>
      </c>
    </row>
    <row r="179" spans="1:8" x14ac:dyDescent="0.2">
      <c r="A179" s="71"/>
      <c r="B179" s="13">
        <v>29</v>
      </c>
      <c r="C179" s="13">
        <v>282788</v>
      </c>
      <c r="D179" s="14" t="s">
        <v>42</v>
      </c>
      <c r="E179" s="15" t="s">
        <v>13</v>
      </c>
      <c r="F179" s="97">
        <v>444</v>
      </c>
      <c r="G179" s="16">
        <v>37.25</v>
      </c>
      <c r="H179" s="23">
        <f t="shared" si="4"/>
        <v>16539</v>
      </c>
    </row>
    <row r="180" spans="1:8" x14ac:dyDescent="0.2">
      <c r="A180" s="71"/>
      <c r="B180" s="13">
        <v>30</v>
      </c>
      <c r="C180" s="13">
        <v>470690</v>
      </c>
      <c r="D180" s="14" t="s">
        <v>43</v>
      </c>
      <c r="E180" s="15" t="s">
        <v>13</v>
      </c>
      <c r="F180" s="97">
        <v>830</v>
      </c>
      <c r="G180" s="16">
        <v>29.93</v>
      </c>
      <c r="H180" s="23">
        <f t="shared" si="4"/>
        <v>24841.9</v>
      </c>
    </row>
    <row r="181" spans="1:8" x14ac:dyDescent="0.2">
      <c r="A181" s="71"/>
      <c r="B181" s="13">
        <v>31</v>
      </c>
      <c r="C181" s="13">
        <v>460397</v>
      </c>
      <c r="D181" s="14" t="s">
        <v>44</v>
      </c>
      <c r="E181" s="15" t="s">
        <v>13</v>
      </c>
      <c r="F181" s="97">
        <v>349</v>
      </c>
      <c r="G181" s="16">
        <v>20.7</v>
      </c>
      <c r="H181" s="23">
        <f t="shared" si="4"/>
        <v>7224.3</v>
      </c>
    </row>
    <row r="182" spans="1:8" ht="13.5" thickBot="1" x14ac:dyDescent="0.25">
      <c r="A182" s="71"/>
      <c r="B182" s="13">
        <v>32</v>
      </c>
      <c r="C182" s="13">
        <v>458919</v>
      </c>
      <c r="D182" s="14" t="s">
        <v>45</v>
      </c>
      <c r="E182" s="15" t="s">
        <v>13</v>
      </c>
      <c r="F182" s="97">
        <v>76</v>
      </c>
      <c r="G182" s="16">
        <v>5.27</v>
      </c>
      <c r="H182" s="23">
        <f t="shared" si="4"/>
        <v>400.52</v>
      </c>
    </row>
    <row r="183" spans="1:8" ht="13.5" thickBot="1" x14ac:dyDescent="0.25">
      <c r="A183" s="72" t="s">
        <v>46</v>
      </c>
      <c r="B183" s="73"/>
      <c r="C183" s="73"/>
      <c r="D183" s="73"/>
      <c r="E183" s="73"/>
      <c r="F183" s="73"/>
      <c r="G183" s="74"/>
      <c r="H183" s="26">
        <f>SUM(H151:H182)</f>
        <v>4082490.0799999996</v>
      </c>
    </row>
    <row r="184" spans="1:8" ht="13.5" thickBot="1" x14ac:dyDescent="0.25"/>
    <row r="185" spans="1:8" ht="13.5" thickBot="1" x14ac:dyDescent="0.25">
      <c r="A185" s="5" t="s">
        <v>55</v>
      </c>
      <c r="B185" s="6"/>
      <c r="C185" s="6"/>
      <c r="D185" s="6"/>
      <c r="E185" s="6"/>
      <c r="F185" s="6"/>
      <c r="G185" s="7"/>
      <c r="H185" s="8"/>
    </row>
    <row r="186" spans="1:8" ht="13.5" thickBot="1" x14ac:dyDescent="0.25">
      <c r="A186" s="9" t="s">
        <v>3</v>
      </c>
      <c r="B186" s="10" t="s">
        <v>4</v>
      </c>
      <c r="C186" s="10" t="s">
        <v>5</v>
      </c>
      <c r="D186" s="10" t="s">
        <v>6</v>
      </c>
      <c r="E186" s="10" t="s">
        <v>7</v>
      </c>
      <c r="F186" s="10" t="s">
        <v>8</v>
      </c>
      <c r="G186" s="11" t="s">
        <v>9</v>
      </c>
      <c r="H186" s="12" t="s">
        <v>10</v>
      </c>
    </row>
    <row r="187" spans="1:8" x14ac:dyDescent="0.2">
      <c r="A187" s="70" t="s">
        <v>56</v>
      </c>
      <c r="B187" s="13">
        <v>1</v>
      </c>
      <c r="C187" s="13">
        <v>282769</v>
      </c>
      <c r="D187" s="14" t="s">
        <v>12</v>
      </c>
      <c r="E187" s="15" t="s">
        <v>13</v>
      </c>
      <c r="F187" s="96">
        <f>31*7</f>
        <v>217</v>
      </c>
      <c r="G187" s="16">
        <v>29.24</v>
      </c>
      <c r="H187" s="22">
        <f>F187*G187</f>
        <v>6345.08</v>
      </c>
    </row>
    <row r="188" spans="1:8" x14ac:dyDescent="0.2">
      <c r="A188" s="71"/>
      <c r="B188" s="13">
        <v>2</v>
      </c>
      <c r="C188" s="13">
        <v>458921</v>
      </c>
      <c r="D188" s="14" t="s">
        <v>14</v>
      </c>
      <c r="E188" s="15" t="s">
        <v>13</v>
      </c>
      <c r="F188" s="97">
        <f>96*5</f>
        <v>480</v>
      </c>
      <c r="G188" s="16">
        <v>7.68</v>
      </c>
      <c r="H188" s="23">
        <f t="shared" ref="H188:H218" si="5">F188*G188</f>
        <v>3686.3999999999996</v>
      </c>
    </row>
    <row r="189" spans="1:8" x14ac:dyDescent="0.2">
      <c r="A189" s="71"/>
      <c r="B189" s="13">
        <v>3</v>
      </c>
      <c r="C189" s="13">
        <v>464553</v>
      </c>
      <c r="D189" s="14" t="s">
        <v>15</v>
      </c>
      <c r="E189" s="15" t="s">
        <v>13</v>
      </c>
      <c r="F189" s="97">
        <f>1046*9</f>
        <v>9414</v>
      </c>
      <c r="G189" s="16">
        <v>6.91</v>
      </c>
      <c r="H189" s="23">
        <f t="shared" si="5"/>
        <v>65050.74</v>
      </c>
    </row>
    <row r="190" spans="1:8" x14ac:dyDescent="0.2">
      <c r="A190" s="71"/>
      <c r="B190" s="13">
        <v>4</v>
      </c>
      <c r="C190" s="13">
        <v>464552</v>
      </c>
      <c r="D190" s="14" t="s">
        <v>16</v>
      </c>
      <c r="E190" s="15" t="s">
        <v>13</v>
      </c>
      <c r="F190" s="97">
        <f>1046*9</f>
        <v>9414</v>
      </c>
      <c r="G190" s="16">
        <v>9.92</v>
      </c>
      <c r="H190" s="23">
        <f t="shared" si="5"/>
        <v>93386.880000000005</v>
      </c>
    </row>
    <row r="191" spans="1:8" x14ac:dyDescent="0.2">
      <c r="A191" s="71"/>
      <c r="B191" s="13">
        <v>5</v>
      </c>
      <c r="C191" s="13">
        <v>464558</v>
      </c>
      <c r="D191" s="14" t="s">
        <v>17</v>
      </c>
      <c r="E191" s="15" t="s">
        <v>13</v>
      </c>
      <c r="F191" s="97">
        <f>710*9</f>
        <v>6390</v>
      </c>
      <c r="G191" s="16">
        <v>11.29</v>
      </c>
      <c r="H191" s="23">
        <f t="shared" si="5"/>
        <v>72143.099999999991</v>
      </c>
    </row>
    <row r="192" spans="1:8" x14ac:dyDescent="0.2">
      <c r="A192" s="71"/>
      <c r="B192" s="13">
        <v>6</v>
      </c>
      <c r="C192" s="13">
        <v>470688</v>
      </c>
      <c r="D192" s="14" t="s">
        <v>18</v>
      </c>
      <c r="E192" s="15" t="s">
        <v>13</v>
      </c>
      <c r="F192" s="97">
        <f>91*4</f>
        <v>364</v>
      </c>
      <c r="G192" s="16">
        <v>6.93</v>
      </c>
      <c r="H192" s="23">
        <f t="shared" si="5"/>
        <v>2522.52</v>
      </c>
    </row>
    <row r="193" spans="1:8" x14ac:dyDescent="0.2">
      <c r="A193" s="71"/>
      <c r="B193" s="13">
        <v>7</v>
      </c>
      <c r="C193" s="13">
        <v>606522</v>
      </c>
      <c r="D193" s="14" t="s">
        <v>19</v>
      </c>
      <c r="E193" s="15" t="s">
        <v>13</v>
      </c>
      <c r="F193" s="97">
        <f>46*2</f>
        <v>92</v>
      </c>
      <c r="G193" s="16">
        <v>63.2</v>
      </c>
      <c r="H193" s="23">
        <f t="shared" si="5"/>
        <v>5814.4000000000005</v>
      </c>
    </row>
    <row r="194" spans="1:8" x14ac:dyDescent="0.2">
      <c r="A194" s="71"/>
      <c r="B194" s="13">
        <v>8</v>
      </c>
      <c r="C194" s="13">
        <v>222996</v>
      </c>
      <c r="D194" s="14" t="s">
        <v>20</v>
      </c>
      <c r="E194" s="15" t="s">
        <v>13</v>
      </c>
      <c r="F194" s="97">
        <f>179*5</f>
        <v>895</v>
      </c>
      <c r="G194" s="16">
        <v>54.51</v>
      </c>
      <c r="H194" s="23">
        <f t="shared" si="5"/>
        <v>48786.45</v>
      </c>
    </row>
    <row r="195" spans="1:8" x14ac:dyDescent="0.2">
      <c r="A195" s="71"/>
      <c r="B195" s="13">
        <v>9</v>
      </c>
      <c r="C195" s="13">
        <v>462666</v>
      </c>
      <c r="D195" s="14" t="s">
        <v>21</v>
      </c>
      <c r="E195" s="15" t="s">
        <v>13</v>
      </c>
      <c r="F195" s="97">
        <f>179*5</f>
        <v>895</v>
      </c>
      <c r="G195" s="16">
        <v>51</v>
      </c>
      <c r="H195" s="23">
        <f t="shared" si="5"/>
        <v>45645</v>
      </c>
    </row>
    <row r="196" spans="1:8" x14ac:dyDescent="0.2">
      <c r="A196" s="71"/>
      <c r="B196" s="13">
        <v>10</v>
      </c>
      <c r="C196" s="13">
        <v>448953</v>
      </c>
      <c r="D196" s="14" t="s">
        <v>22</v>
      </c>
      <c r="E196" s="15" t="s">
        <v>13</v>
      </c>
      <c r="F196" s="97">
        <f>697*11</f>
        <v>7667</v>
      </c>
      <c r="G196" s="16">
        <v>52.22</v>
      </c>
      <c r="H196" s="23">
        <f t="shared" si="5"/>
        <v>400370.74</v>
      </c>
    </row>
    <row r="197" spans="1:8" x14ac:dyDescent="0.2">
      <c r="A197" s="71"/>
      <c r="B197" s="13">
        <v>11</v>
      </c>
      <c r="C197" s="13">
        <v>617794</v>
      </c>
      <c r="D197" s="14" t="s">
        <v>23</v>
      </c>
      <c r="E197" s="15" t="s">
        <v>13</v>
      </c>
      <c r="F197" s="97">
        <v>525</v>
      </c>
      <c r="G197" s="16">
        <v>50.51</v>
      </c>
      <c r="H197" s="23">
        <f t="shared" si="5"/>
        <v>26517.75</v>
      </c>
    </row>
    <row r="198" spans="1:8" x14ac:dyDescent="0.2">
      <c r="A198" s="71"/>
      <c r="B198" s="13">
        <v>12</v>
      </c>
      <c r="C198" s="13">
        <v>446706</v>
      </c>
      <c r="D198" s="14" t="s">
        <v>24</v>
      </c>
      <c r="E198" s="15" t="s">
        <v>25</v>
      </c>
      <c r="F198" s="97">
        <f>963*3</f>
        <v>2889</v>
      </c>
      <c r="G198" s="16">
        <v>11.94</v>
      </c>
      <c r="H198" s="23">
        <f t="shared" si="5"/>
        <v>34494.659999999996</v>
      </c>
    </row>
    <row r="199" spans="1:8" x14ac:dyDescent="0.2">
      <c r="A199" s="71"/>
      <c r="B199" s="13">
        <v>13</v>
      </c>
      <c r="C199" s="13">
        <v>446706</v>
      </c>
      <c r="D199" s="14" t="s">
        <v>26</v>
      </c>
      <c r="E199" s="15" t="s">
        <v>25</v>
      </c>
      <c r="F199" s="97">
        <f>963*4</f>
        <v>3852</v>
      </c>
      <c r="G199" s="16">
        <v>11.62</v>
      </c>
      <c r="H199" s="23">
        <f t="shared" si="5"/>
        <v>44760.24</v>
      </c>
    </row>
    <row r="200" spans="1:8" x14ac:dyDescent="0.2">
      <c r="A200" s="71"/>
      <c r="B200" s="13">
        <v>14</v>
      </c>
      <c r="C200" s="13">
        <v>445995</v>
      </c>
      <c r="D200" s="14" t="s">
        <v>27</v>
      </c>
      <c r="E200" s="15" t="s">
        <v>25</v>
      </c>
      <c r="F200" s="97">
        <f>273*8</f>
        <v>2184</v>
      </c>
      <c r="G200" s="16">
        <v>4.3600000000000003</v>
      </c>
      <c r="H200" s="23">
        <f t="shared" si="5"/>
        <v>9522.2400000000016</v>
      </c>
    </row>
    <row r="201" spans="1:8" x14ac:dyDescent="0.2">
      <c r="A201" s="71"/>
      <c r="B201" s="13">
        <v>15</v>
      </c>
      <c r="C201" s="13">
        <v>282783</v>
      </c>
      <c r="D201" s="14" t="s">
        <v>28</v>
      </c>
      <c r="E201" s="15" t="s">
        <v>13</v>
      </c>
      <c r="F201" s="97">
        <v>178</v>
      </c>
      <c r="G201" s="16">
        <v>48</v>
      </c>
      <c r="H201" s="23">
        <f t="shared" si="5"/>
        <v>8544</v>
      </c>
    </row>
    <row r="202" spans="1:8" x14ac:dyDescent="0.2">
      <c r="A202" s="71"/>
      <c r="B202" s="13">
        <v>16</v>
      </c>
      <c r="C202" s="13">
        <v>464468</v>
      </c>
      <c r="D202" s="14" t="s">
        <v>29</v>
      </c>
      <c r="E202" s="15" t="s">
        <v>13</v>
      </c>
      <c r="F202" s="97">
        <f>2701*5</f>
        <v>13505</v>
      </c>
      <c r="G202" s="16">
        <v>20.86</v>
      </c>
      <c r="H202" s="23">
        <f t="shared" si="5"/>
        <v>281714.3</v>
      </c>
    </row>
    <row r="203" spans="1:8" x14ac:dyDescent="0.2">
      <c r="A203" s="71"/>
      <c r="B203" s="13">
        <v>17</v>
      </c>
      <c r="C203" s="13">
        <v>464484</v>
      </c>
      <c r="D203" s="14" t="s">
        <v>30</v>
      </c>
      <c r="E203" s="15" t="s">
        <v>13</v>
      </c>
      <c r="F203" s="97">
        <f>2742*6</f>
        <v>16452</v>
      </c>
      <c r="G203" s="16">
        <v>20.29</v>
      </c>
      <c r="H203" s="23">
        <f t="shared" si="5"/>
        <v>333811.07999999996</v>
      </c>
    </row>
    <row r="204" spans="1:8" x14ac:dyDescent="0.2">
      <c r="A204" s="71"/>
      <c r="B204" s="13">
        <v>18</v>
      </c>
      <c r="C204" s="13">
        <v>464514</v>
      </c>
      <c r="D204" s="14" t="s">
        <v>31</v>
      </c>
      <c r="E204" s="15" t="s">
        <v>13</v>
      </c>
      <c r="F204" s="97">
        <f>2742*6</f>
        <v>16452</v>
      </c>
      <c r="G204" s="16">
        <v>18.440000000000001</v>
      </c>
      <c r="H204" s="23">
        <f t="shared" si="5"/>
        <v>303374.88</v>
      </c>
    </row>
    <row r="205" spans="1:8" x14ac:dyDescent="0.2">
      <c r="A205" s="71"/>
      <c r="B205" s="13">
        <v>19</v>
      </c>
      <c r="C205" s="13">
        <v>464491</v>
      </c>
      <c r="D205" s="14" t="s">
        <v>32</v>
      </c>
      <c r="E205" s="15" t="s">
        <v>13</v>
      </c>
      <c r="F205" s="97">
        <f>1217*4</f>
        <v>4868</v>
      </c>
      <c r="G205" s="16">
        <v>25.79</v>
      </c>
      <c r="H205" s="23">
        <f t="shared" si="5"/>
        <v>125545.72</v>
      </c>
    </row>
    <row r="206" spans="1:8" x14ac:dyDescent="0.2">
      <c r="A206" s="71"/>
      <c r="B206" s="13">
        <v>20</v>
      </c>
      <c r="C206" s="13">
        <v>282785</v>
      </c>
      <c r="D206" s="14" t="s">
        <v>33</v>
      </c>
      <c r="E206" s="15" t="s">
        <v>13</v>
      </c>
      <c r="F206" s="97">
        <f>2742*5</f>
        <v>13710</v>
      </c>
      <c r="G206" s="16">
        <v>25.42</v>
      </c>
      <c r="H206" s="23">
        <f t="shared" si="5"/>
        <v>348508.2</v>
      </c>
    </row>
    <row r="207" spans="1:8" x14ac:dyDescent="0.2">
      <c r="A207" s="71"/>
      <c r="B207" s="13">
        <v>21</v>
      </c>
      <c r="C207" s="13">
        <v>464474</v>
      </c>
      <c r="D207" s="14" t="s">
        <v>34</v>
      </c>
      <c r="E207" s="15" t="s">
        <v>13</v>
      </c>
      <c r="F207" s="97">
        <f>2742*5</f>
        <v>13710</v>
      </c>
      <c r="G207" s="16">
        <v>30.5</v>
      </c>
      <c r="H207" s="23">
        <f t="shared" si="5"/>
        <v>418155</v>
      </c>
    </row>
    <row r="208" spans="1:8" x14ac:dyDescent="0.2">
      <c r="A208" s="71"/>
      <c r="B208" s="13">
        <v>22</v>
      </c>
      <c r="C208" s="13">
        <v>464475</v>
      </c>
      <c r="D208" s="14" t="s">
        <v>35</v>
      </c>
      <c r="E208" s="15" t="s">
        <v>13</v>
      </c>
      <c r="F208" s="97">
        <f>2150*4</f>
        <v>8600</v>
      </c>
      <c r="G208" s="16">
        <v>18.75</v>
      </c>
      <c r="H208" s="23">
        <f t="shared" si="5"/>
        <v>161250</v>
      </c>
    </row>
    <row r="209" spans="1:8" x14ac:dyDescent="0.2">
      <c r="A209" s="71"/>
      <c r="B209" s="13">
        <v>23</v>
      </c>
      <c r="C209" s="13">
        <v>464485</v>
      </c>
      <c r="D209" s="14" t="s">
        <v>36</v>
      </c>
      <c r="E209" s="15" t="s">
        <v>13</v>
      </c>
      <c r="F209" s="97">
        <f>1166*3</f>
        <v>3498</v>
      </c>
      <c r="G209" s="16">
        <v>23.04</v>
      </c>
      <c r="H209" s="23">
        <f t="shared" si="5"/>
        <v>80593.919999999998</v>
      </c>
    </row>
    <row r="210" spans="1:8" x14ac:dyDescent="0.2">
      <c r="A210" s="71"/>
      <c r="B210" s="13">
        <v>24</v>
      </c>
      <c r="C210" s="13">
        <v>282786</v>
      </c>
      <c r="D210" s="14" t="s">
        <v>37</v>
      </c>
      <c r="E210" s="15" t="s">
        <v>13</v>
      </c>
      <c r="F210" s="97">
        <v>585</v>
      </c>
      <c r="G210" s="16">
        <v>25.83</v>
      </c>
      <c r="H210" s="23">
        <f t="shared" si="5"/>
        <v>15110.55</v>
      </c>
    </row>
    <row r="211" spans="1:8" x14ac:dyDescent="0.2">
      <c r="A211" s="71"/>
      <c r="B211" s="13">
        <v>25</v>
      </c>
      <c r="C211" s="13">
        <v>464511</v>
      </c>
      <c r="D211" s="14" t="s">
        <v>38</v>
      </c>
      <c r="E211" s="15" t="s">
        <v>13</v>
      </c>
      <c r="F211" s="97">
        <f>880*2</f>
        <v>1760</v>
      </c>
      <c r="G211" s="16">
        <v>17.399999999999999</v>
      </c>
      <c r="H211" s="23">
        <f t="shared" si="5"/>
        <v>30623.999999999996</v>
      </c>
    </row>
    <row r="212" spans="1:8" x14ac:dyDescent="0.2">
      <c r="A212" s="71"/>
      <c r="B212" s="13">
        <v>26</v>
      </c>
      <c r="C212" s="13">
        <v>405351</v>
      </c>
      <c r="D212" s="14" t="s">
        <v>39</v>
      </c>
      <c r="E212" s="15" t="s">
        <v>13</v>
      </c>
      <c r="F212" s="97">
        <f>224*5</f>
        <v>1120</v>
      </c>
      <c r="G212" s="16">
        <v>38</v>
      </c>
      <c r="H212" s="23">
        <f t="shared" si="5"/>
        <v>42560</v>
      </c>
    </row>
    <row r="213" spans="1:8" x14ac:dyDescent="0.2">
      <c r="A213" s="71"/>
      <c r="B213" s="13">
        <v>27</v>
      </c>
      <c r="C213" s="13">
        <v>446393</v>
      </c>
      <c r="D213" s="14" t="s">
        <v>40</v>
      </c>
      <c r="E213" s="15" t="s">
        <v>13</v>
      </c>
      <c r="F213" s="97">
        <f>63*6</f>
        <v>378</v>
      </c>
      <c r="G213" s="16">
        <v>49.85</v>
      </c>
      <c r="H213" s="23">
        <f t="shared" si="5"/>
        <v>18843.3</v>
      </c>
    </row>
    <row r="214" spans="1:8" x14ac:dyDescent="0.2">
      <c r="A214" s="71"/>
      <c r="B214" s="13">
        <v>28</v>
      </c>
      <c r="C214" s="13">
        <v>446633</v>
      </c>
      <c r="D214" s="14" t="s">
        <v>41</v>
      </c>
      <c r="E214" s="15" t="s">
        <v>13</v>
      </c>
      <c r="F214" s="97">
        <f>604*9</f>
        <v>5436</v>
      </c>
      <c r="G214" s="16">
        <v>46.79</v>
      </c>
      <c r="H214" s="23">
        <f t="shared" si="5"/>
        <v>254350.44</v>
      </c>
    </row>
    <row r="215" spans="1:8" x14ac:dyDescent="0.2">
      <c r="A215" s="71"/>
      <c r="B215" s="13">
        <v>29</v>
      </c>
      <c r="C215" s="13">
        <v>282788</v>
      </c>
      <c r="D215" s="14" t="s">
        <v>42</v>
      </c>
      <c r="E215" s="15" t="s">
        <v>13</v>
      </c>
      <c r="F215" s="97">
        <v>359</v>
      </c>
      <c r="G215" s="16">
        <v>37.25</v>
      </c>
      <c r="H215" s="23">
        <f t="shared" si="5"/>
        <v>13372.75</v>
      </c>
    </row>
    <row r="216" spans="1:8" x14ac:dyDescent="0.2">
      <c r="A216" s="71"/>
      <c r="B216" s="13">
        <v>30</v>
      </c>
      <c r="C216" s="13">
        <v>470690</v>
      </c>
      <c r="D216" s="14" t="s">
        <v>43</v>
      </c>
      <c r="E216" s="15" t="s">
        <v>13</v>
      </c>
      <c r="F216" s="97">
        <v>697</v>
      </c>
      <c r="G216" s="16">
        <v>29.93</v>
      </c>
      <c r="H216" s="23">
        <f t="shared" si="5"/>
        <v>20861.21</v>
      </c>
    </row>
    <row r="217" spans="1:8" x14ac:dyDescent="0.2">
      <c r="A217" s="71"/>
      <c r="B217" s="13">
        <v>31</v>
      </c>
      <c r="C217" s="13">
        <v>460397</v>
      </c>
      <c r="D217" s="14" t="s">
        <v>44</v>
      </c>
      <c r="E217" s="15" t="s">
        <v>13</v>
      </c>
      <c r="F217" s="97">
        <v>291</v>
      </c>
      <c r="G217" s="16">
        <v>20.7</v>
      </c>
      <c r="H217" s="23">
        <f t="shared" si="5"/>
        <v>6023.7</v>
      </c>
    </row>
    <row r="218" spans="1:8" ht="13.5" thickBot="1" x14ac:dyDescent="0.25">
      <c r="A218" s="71"/>
      <c r="B218" s="13">
        <v>32</v>
      </c>
      <c r="C218" s="13">
        <v>458919</v>
      </c>
      <c r="D218" s="14" t="s">
        <v>45</v>
      </c>
      <c r="E218" s="15" t="s">
        <v>13</v>
      </c>
      <c r="F218" s="97">
        <v>68</v>
      </c>
      <c r="G218" s="16">
        <v>5.27</v>
      </c>
      <c r="H218" s="23">
        <f t="shared" si="5"/>
        <v>358.35999999999996</v>
      </c>
    </row>
    <row r="219" spans="1:8" ht="13.5" thickBot="1" x14ac:dyDescent="0.25">
      <c r="A219" s="67" t="s">
        <v>46</v>
      </c>
      <c r="B219" s="68"/>
      <c r="C219" s="68"/>
      <c r="D219" s="68"/>
      <c r="E219" s="68"/>
      <c r="F219" s="68"/>
      <c r="G219" s="69"/>
      <c r="H219" s="20">
        <f>SUM(H187:H218)</f>
        <v>3322647.6099999994</v>
      </c>
    </row>
    <row r="220" spans="1:8" ht="13.5" thickBot="1" x14ac:dyDescent="0.25"/>
    <row r="221" spans="1:8" ht="13.5" thickBot="1" x14ac:dyDescent="0.25">
      <c r="A221" s="5" t="s">
        <v>57</v>
      </c>
      <c r="B221" s="27"/>
      <c r="C221" s="27"/>
      <c r="D221" s="27"/>
      <c r="E221" s="6"/>
      <c r="F221" s="27"/>
      <c r="G221" s="28"/>
      <c r="H221" s="29"/>
    </row>
    <row r="222" spans="1:8" ht="13.5" thickBot="1" x14ac:dyDescent="0.25">
      <c r="A222" s="9" t="s">
        <v>3</v>
      </c>
      <c r="B222" s="10" t="s">
        <v>4</v>
      </c>
      <c r="C222" s="10" t="s">
        <v>5</v>
      </c>
      <c r="D222" s="10" t="s">
        <v>6</v>
      </c>
      <c r="E222" s="10" t="s">
        <v>7</v>
      </c>
      <c r="F222" s="10" t="s">
        <v>8</v>
      </c>
      <c r="G222" s="11" t="s">
        <v>9</v>
      </c>
      <c r="H222" s="12" t="s">
        <v>10</v>
      </c>
    </row>
    <row r="223" spans="1:8" x14ac:dyDescent="0.2">
      <c r="A223" s="70" t="s">
        <v>58</v>
      </c>
      <c r="B223" s="13">
        <v>1</v>
      </c>
      <c r="C223" s="13">
        <v>282769</v>
      </c>
      <c r="D223" s="14" t="s">
        <v>12</v>
      </c>
      <c r="E223" s="15" t="s">
        <v>13</v>
      </c>
      <c r="F223" s="96">
        <f>27*7</f>
        <v>189</v>
      </c>
      <c r="G223" s="16">
        <v>28.75</v>
      </c>
      <c r="H223" s="22">
        <f>F223*G223</f>
        <v>5433.75</v>
      </c>
    </row>
    <row r="224" spans="1:8" x14ac:dyDescent="0.2">
      <c r="A224" s="71"/>
      <c r="B224" s="13">
        <v>2</v>
      </c>
      <c r="C224" s="13">
        <v>458921</v>
      </c>
      <c r="D224" s="14" t="s">
        <v>14</v>
      </c>
      <c r="E224" s="15" t="s">
        <v>13</v>
      </c>
      <c r="F224" s="97">
        <f>74*5</f>
        <v>370</v>
      </c>
      <c r="G224" s="16">
        <v>8.98</v>
      </c>
      <c r="H224" s="23">
        <f t="shared" ref="H224:H254" si="6">F224*G224</f>
        <v>3322.6000000000004</v>
      </c>
    </row>
    <row r="225" spans="1:8" x14ac:dyDescent="0.2">
      <c r="A225" s="71"/>
      <c r="B225" s="13">
        <v>3</v>
      </c>
      <c r="C225" s="13">
        <v>464553</v>
      </c>
      <c r="D225" s="14" t="s">
        <v>15</v>
      </c>
      <c r="E225" s="15" t="s">
        <v>13</v>
      </c>
      <c r="F225" s="97">
        <f>994*9</f>
        <v>8946</v>
      </c>
      <c r="G225" s="16">
        <v>6.45</v>
      </c>
      <c r="H225" s="23">
        <f t="shared" si="6"/>
        <v>57701.700000000004</v>
      </c>
    </row>
    <row r="226" spans="1:8" x14ac:dyDescent="0.2">
      <c r="A226" s="71"/>
      <c r="B226" s="13">
        <v>4</v>
      </c>
      <c r="C226" s="13">
        <v>464552</v>
      </c>
      <c r="D226" s="14" t="s">
        <v>16</v>
      </c>
      <c r="E226" s="15" t="s">
        <v>13</v>
      </c>
      <c r="F226" s="97">
        <f>994*9</f>
        <v>8946</v>
      </c>
      <c r="G226" s="16">
        <v>9.8800000000000008</v>
      </c>
      <c r="H226" s="23">
        <f t="shared" si="6"/>
        <v>88386.48000000001</v>
      </c>
    </row>
    <row r="227" spans="1:8" x14ac:dyDescent="0.2">
      <c r="A227" s="71"/>
      <c r="B227" s="13">
        <v>5</v>
      </c>
      <c r="C227" s="13">
        <v>464558</v>
      </c>
      <c r="D227" s="14" t="s">
        <v>17</v>
      </c>
      <c r="E227" s="15" t="s">
        <v>13</v>
      </c>
      <c r="F227" s="97">
        <f>667*9</f>
        <v>6003</v>
      </c>
      <c r="G227" s="16">
        <v>11.08</v>
      </c>
      <c r="H227" s="23">
        <f t="shared" si="6"/>
        <v>66513.240000000005</v>
      </c>
    </row>
    <row r="228" spans="1:8" x14ac:dyDescent="0.2">
      <c r="A228" s="71"/>
      <c r="B228" s="13">
        <v>6</v>
      </c>
      <c r="C228" s="13">
        <v>470688</v>
      </c>
      <c r="D228" s="14" t="s">
        <v>18</v>
      </c>
      <c r="E228" s="15" t="s">
        <v>13</v>
      </c>
      <c r="F228" s="97">
        <f>89*4</f>
        <v>356</v>
      </c>
      <c r="G228" s="16">
        <v>6.93</v>
      </c>
      <c r="H228" s="23">
        <f t="shared" si="6"/>
        <v>2467.08</v>
      </c>
    </row>
    <row r="229" spans="1:8" x14ac:dyDescent="0.2">
      <c r="A229" s="71"/>
      <c r="B229" s="13">
        <v>7</v>
      </c>
      <c r="C229" s="13">
        <v>606522</v>
      </c>
      <c r="D229" s="14" t="s">
        <v>19</v>
      </c>
      <c r="E229" s="15" t="s">
        <v>13</v>
      </c>
      <c r="F229" s="97">
        <f>38*2</f>
        <v>76</v>
      </c>
      <c r="G229" s="16">
        <v>62.65</v>
      </c>
      <c r="H229" s="23">
        <f t="shared" si="6"/>
        <v>4761.3999999999996</v>
      </c>
    </row>
    <row r="230" spans="1:8" x14ac:dyDescent="0.2">
      <c r="A230" s="71"/>
      <c r="B230" s="13">
        <v>8</v>
      </c>
      <c r="C230" s="13">
        <v>222996</v>
      </c>
      <c r="D230" s="14" t="s">
        <v>20</v>
      </c>
      <c r="E230" s="15" t="s">
        <v>13</v>
      </c>
      <c r="F230" s="97">
        <f>167*5</f>
        <v>835</v>
      </c>
      <c r="G230" s="16">
        <v>54.51</v>
      </c>
      <c r="H230" s="23">
        <f t="shared" si="6"/>
        <v>45515.85</v>
      </c>
    </row>
    <row r="231" spans="1:8" x14ac:dyDescent="0.2">
      <c r="A231" s="71"/>
      <c r="B231" s="13">
        <v>9</v>
      </c>
      <c r="C231" s="13">
        <v>462666</v>
      </c>
      <c r="D231" s="14" t="s">
        <v>21</v>
      </c>
      <c r="E231" s="15" t="s">
        <v>13</v>
      </c>
      <c r="F231" s="97">
        <f>167*5</f>
        <v>835</v>
      </c>
      <c r="G231" s="16">
        <v>51</v>
      </c>
      <c r="H231" s="23">
        <f t="shared" si="6"/>
        <v>42585</v>
      </c>
    </row>
    <row r="232" spans="1:8" x14ac:dyDescent="0.2">
      <c r="A232" s="71"/>
      <c r="B232" s="13">
        <v>10</v>
      </c>
      <c r="C232" s="13">
        <v>448953</v>
      </c>
      <c r="D232" s="14" t="s">
        <v>22</v>
      </c>
      <c r="E232" s="15" t="s">
        <v>13</v>
      </c>
      <c r="F232" s="97">
        <f>661*11</f>
        <v>7271</v>
      </c>
      <c r="G232" s="16">
        <v>52.07</v>
      </c>
      <c r="H232" s="23">
        <f t="shared" si="6"/>
        <v>378600.97000000003</v>
      </c>
    </row>
    <row r="233" spans="1:8" x14ac:dyDescent="0.2">
      <c r="A233" s="71"/>
      <c r="B233" s="13">
        <v>11</v>
      </c>
      <c r="C233" s="13">
        <v>617794</v>
      </c>
      <c r="D233" s="14" t="s">
        <v>23</v>
      </c>
      <c r="E233" s="15" t="s">
        <v>13</v>
      </c>
      <c r="F233" s="97">
        <v>498</v>
      </c>
      <c r="G233" s="16">
        <v>50.4</v>
      </c>
      <c r="H233" s="23">
        <f t="shared" si="6"/>
        <v>25099.200000000001</v>
      </c>
    </row>
    <row r="234" spans="1:8" x14ac:dyDescent="0.2">
      <c r="A234" s="71"/>
      <c r="B234" s="13">
        <v>12</v>
      </c>
      <c r="C234" s="13">
        <v>446706</v>
      </c>
      <c r="D234" s="14" t="s">
        <v>24</v>
      </c>
      <c r="E234" s="15" t="s">
        <v>25</v>
      </c>
      <c r="F234" s="97">
        <f>912*3</f>
        <v>2736</v>
      </c>
      <c r="G234" s="16">
        <v>11.94</v>
      </c>
      <c r="H234" s="23">
        <f t="shared" si="6"/>
        <v>32667.84</v>
      </c>
    </row>
    <row r="235" spans="1:8" x14ac:dyDescent="0.2">
      <c r="A235" s="71"/>
      <c r="B235" s="13">
        <v>13</v>
      </c>
      <c r="C235" s="13">
        <v>446706</v>
      </c>
      <c r="D235" s="14" t="s">
        <v>26</v>
      </c>
      <c r="E235" s="15" t="s">
        <v>25</v>
      </c>
      <c r="F235" s="97">
        <f>912*4</f>
        <v>3648</v>
      </c>
      <c r="G235" s="16">
        <v>11.62</v>
      </c>
      <c r="H235" s="23">
        <f t="shared" si="6"/>
        <v>42389.759999999995</v>
      </c>
    </row>
    <row r="236" spans="1:8" x14ac:dyDescent="0.2">
      <c r="A236" s="71"/>
      <c r="B236" s="13">
        <v>14</v>
      </c>
      <c r="C236" s="13">
        <v>445995</v>
      </c>
      <c r="D236" s="14" t="s">
        <v>27</v>
      </c>
      <c r="E236" s="15" t="s">
        <v>25</v>
      </c>
      <c r="F236" s="97">
        <f>209*8</f>
        <v>1672</v>
      </c>
      <c r="G236" s="16">
        <v>4.3600000000000003</v>
      </c>
      <c r="H236" s="23">
        <f t="shared" si="6"/>
        <v>7289.920000000001</v>
      </c>
    </row>
    <row r="237" spans="1:8" x14ac:dyDescent="0.2">
      <c r="A237" s="71"/>
      <c r="B237" s="13">
        <v>15</v>
      </c>
      <c r="C237" s="13">
        <v>282783</v>
      </c>
      <c r="D237" s="14" t="s">
        <v>28</v>
      </c>
      <c r="E237" s="15" t="s">
        <v>13</v>
      </c>
      <c r="F237" s="97">
        <v>164</v>
      </c>
      <c r="G237" s="16">
        <v>49.9</v>
      </c>
      <c r="H237" s="23">
        <f t="shared" si="6"/>
        <v>8183.5999999999995</v>
      </c>
    </row>
    <row r="238" spans="1:8" x14ac:dyDescent="0.2">
      <c r="A238" s="71"/>
      <c r="B238" s="13">
        <v>16</v>
      </c>
      <c r="C238" s="13">
        <v>464468</v>
      </c>
      <c r="D238" s="14" t="s">
        <v>29</v>
      </c>
      <c r="E238" s="15" t="s">
        <v>13</v>
      </c>
      <c r="F238" s="97">
        <f>2083*5</f>
        <v>10415</v>
      </c>
      <c r="G238" s="16">
        <v>21.44</v>
      </c>
      <c r="H238" s="23">
        <f t="shared" si="6"/>
        <v>223297.6</v>
      </c>
    </row>
    <row r="239" spans="1:8" x14ac:dyDescent="0.2">
      <c r="A239" s="71"/>
      <c r="B239" s="13">
        <v>17</v>
      </c>
      <c r="C239" s="13">
        <v>464484</v>
      </c>
      <c r="D239" s="14" t="s">
        <v>30</v>
      </c>
      <c r="E239" s="15" t="s">
        <v>13</v>
      </c>
      <c r="F239" s="97">
        <f>2105*6</f>
        <v>12630</v>
      </c>
      <c r="G239" s="16">
        <v>20.22</v>
      </c>
      <c r="H239" s="23">
        <f t="shared" si="6"/>
        <v>255378.59999999998</v>
      </c>
    </row>
    <row r="240" spans="1:8" x14ac:dyDescent="0.2">
      <c r="A240" s="71"/>
      <c r="B240" s="13">
        <v>18</v>
      </c>
      <c r="C240" s="13">
        <v>464514</v>
      </c>
      <c r="D240" s="14" t="s">
        <v>31</v>
      </c>
      <c r="E240" s="15" t="s">
        <v>13</v>
      </c>
      <c r="F240" s="97">
        <f>2105*6</f>
        <v>12630</v>
      </c>
      <c r="G240" s="16">
        <v>18.39</v>
      </c>
      <c r="H240" s="23">
        <f t="shared" si="6"/>
        <v>232265.7</v>
      </c>
    </row>
    <row r="241" spans="1:8" x14ac:dyDescent="0.2">
      <c r="A241" s="71"/>
      <c r="B241" s="13">
        <v>19</v>
      </c>
      <c r="C241" s="13">
        <v>464491</v>
      </c>
      <c r="D241" s="14" t="s">
        <v>32</v>
      </c>
      <c r="E241" s="15" t="s">
        <v>13</v>
      </c>
      <c r="F241" s="97">
        <f>840*4</f>
        <v>3360</v>
      </c>
      <c r="G241" s="16">
        <v>25.83</v>
      </c>
      <c r="H241" s="23">
        <f t="shared" si="6"/>
        <v>86788.799999999988</v>
      </c>
    </row>
    <row r="242" spans="1:8" x14ac:dyDescent="0.2">
      <c r="A242" s="71"/>
      <c r="B242" s="13">
        <v>20</v>
      </c>
      <c r="C242" s="13">
        <v>282785</v>
      </c>
      <c r="D242" s="14" t="s">
        <v>33</v>
      </c>
      <c r="E242" s="15" t="s">
        <v>13</v>
      </c>
      <c r="F242" s="97">
        <f>2105*5</f>
        <v>10525</v>
      </c>
      <c r="G242" s="16">
        <v>25.8</v>
      </c>
      <c r="H242" s="23">
        <f t="shared" si="6"/>
        <v>271545</v>
      </c>
    </row>
    <row r="243" spans="1:8" x14ac:dyDescent="0.2">
      <c r="A243" s="71"/>
      <c r="B243" s="13">
        <v>21</v>
      </c>
      <c r="C243" s="13">
        <v>464474</v>
      </c>
      <c r="D243" s="14" t="s">
        <v>34</v>
      </c>
      <c r="E243" s="15" t="s">
        <v>13</v>
      </c>
      <c r="F243" s="97">
        <f>2105*5</f>
        <v>10525</v>
      </c>
      <c r="G243" s="16">
        <v>32.380000000000003</v>
      </c>
      <c r="H243" s="23">
        <f t="shared" si="6"/>
        <v>340799.5</v>
      </c>
    </row>
    <row r="244" spans="1:8" x14ac:dyDescent="0.2">
      <c r="A244" s="71"/>
      <c r="B244" s="13">
        <v>22</v>
      </c>
      <c r="C244" s="13">
        <v>464475</v>
      </c>
      <c r="D244" s="14" t="s">
        <v>35</v>
      </c>
      <c r="E244" s="15" t="s">
        <v>13</v>
      </c>
      <c r="F244" s="97">
        <f>1842*4</f>
        <v>7368</v>
      </c>
      <c r="G244" s="16">
        <v>18.64</v>
      </c>
      <c r="H244" s="23">
        <f t="shared" si="6"/>
        <v>137339.52000000002</v>
      </c>
    </row>
    <row r="245" spans="1:8" x14ac:dyDescent="0.2">
      <c r="A245" s="71"/>
      <c r="B245" s="13">
        <v>23</v>
      </c>
      <c r="C245" s="13">
        <v>464485</v>
      </c>
      <c r="D245" s="14" t="s">
        <v>36</v>
      </c>
      <c r="E245" s="15" t="s">
        <v>13</v>
      </c>
      <c r="F245" s="97">
        <f>1104*3</f>
        <v>3312</v>
      </c>
      <c r="G245" s="16">
        <v>24</v>
      </c>
      <c r="H245" s="23">
        <f t="shared" si="6"/>
        <v>79488</v>
      </c>
    </row>
    <row r="246" spans="1:8" x14ac:dyDescent="0.2">
      <c r="A246" s="71"/>
      <c r="B246" s="13">
        <v>24</v>
      </c>
      <c r="C246" s="13">
        <v>282786</v>
      </c>
      <c r="D246" s="14" t="s">
        <v>37</v>
      </c>
      <c r="E246" s="15" t="s">
        <v>13</v>
      </c>
      <c r="F246" s="97">
        <v>559</v>
      </c>
      <c r="G246" s="16">
        <v>25.83</v>
      </c>
      <c r="H246" s="23">
        <f t="shared" si="6"/>
        <v>14438.97</v>
      </c>
    </row>
    <row r="247" spans="1:8" x14ac:dyDescent="0.2">
      <c r="A247" s="71"/>
      <c r="B247" s="13">
        <v>25</v>
      </c>
      <c r="C247" s="13">
        <v>464511</v>
      </c>
      <c r="D247" s="14" t="s">
        <v>38</v>
      </c>
      <c r="E247" s="15" t="s">
        <v>13</v>
      </c>
      <c r="F247" s="97">
        <f>688*2</f>
        <v>1376</v>
      </c>
      <c r="G247" s="16">
        <v>18.850000000000001</v>
      </c>
      <c r="H247" s="23">
        <f t="shared" si="6"/>
        <v>25937.600000000002</v>
      </c>
    </row>
    <row r="248" spans="1:8" x14ac:dyDescent="0.2">
      <c r="A248" s="71"/>
      <c r="B248" s="13">
        <v>26</v>
      </c>
      <c r="C248" s="13">
        <v>405351</v>
      </c>
      <c r="D248" s="14" t="s">
        <v>39</v>
      </c>
      <c r="E248" s="15" t="s">
        <v>13</v>
      </c>
      <c r="F248" s="97">
        <f>175*5</f>
        <v>875</v>
      </c>
      <c r="G248" s="16">
        <v>38</v>
      </c>
      <c r="H248" s="23">
        <f t="shared" si="6"/>
        <v>33250</v>
      </c>
    </row>
    <row r="249" spans="1:8" x14ac:dyDescent="0.2">
      <c r="A249" s="71"/>
      <c r="B249" s="13">
        <v>27</v>
      </c>
      <c r="C249" s="13">
        <v>446393</v>
      </c>
      <c r="D249" s="14" t="s">
        <v>40</v>
      </c>
      <c r="E249" s="15" t="s">
        <v>13</v>
      </c>
      <c r="F249" s="97">
        <f>58*6</f>
        <v>348</v>
      </c>
      <c r="G249" s="16">
        <v>49.85</v>
      </c>
      <c r="H249" s="23">
        <f t="shared" si="6"/>
        <v>17347.8</v>
      </c>
    </row>
    <row r="250" spans="1:8" x14ac:dyDescent="0.2">
      <c r="A250" s="71"/>
      <c r="B250" s="13">
        <v>28</v>
      </c>
      <c r="C250" s="13">
        <v>446633</v>
      </c>
      <c r="D250" s="14" t="s">
        <v>41</v>
      </c>
      <c r="E250" s="15" t="s">
        <v>13</v>
      </c>
      <c r="F250" s="97">
        <f>501*9</f>
        <v>4509</v>
      </c>
      <c r="G250" s="16">
        <v>46.79</v>
      </c>
      <c r="H250" s="23">
        <f t="shared" si="6"/>
        <v>210976.11</v>
      </c>
    </row>
    <row r="251" spans="1:8" x14ac:dyDescent="0.2">
      <c r="A251" s="71"/>
      <c r="B251" s="13">
        <v>29</v>
      </c>
      <c r="C251" s="13">
        <v>282788</v>
      </c>
      <c r="D251" s="14" t="s">
        <v>42</v>
      </c>
      <c r="E251" s="15" t="s">
        <v>13</v>
      </c>
      <c r="F251" s="97">
        <v>276</v>
      </c>
      <c r="G251" s="16">
        <v>37.25</v>
      </c>
      <c r="H251" s="23">
        <f t="shared" si="6"/>
        <v>10281</v>
      </c>
    </row>
    <row r="252" spans="1:8" x14ac:dyDescent="0.2">
      <c r="A252" s="71"/>
      <c r="B252" s="13">
        <v>30</v>
      </c>
      <c r="C252" s="13">
        <v>470690</v>
      </c>
      <c r="D252" s="14" t="s">
        <v>43</v>
      </c>
      <c r="E252" s="15" t="s">
        <v>13</v>
      </c>
      <c r="F252" s="97">
        <v>661</v>
      </c>
      <c r="G252" s="16">
        <v>33.93</v>
      </c>
      <c r="H252" s="23">
        <f t="shared" si="6"/>
        <v>22427.73</v>
      </c>
    </row>
    <row r="253" spans="1:8" x14ac:dyDescent="0.2">
      <c r="A253" s="71"/>
      <c r="B253" s="13">
        <v>31</v>
      </c>
      <c r="C253" s="13">
        <v>460397</v>
      </c>
      <c r="D253" s="14" t="s">
        <v>44</v>
      </c>
      <c r="E253" s="15" t="s">
        <v>13</v>
      </c>
      <c r="F253" s="97">
        <v>278</v>
      </c>
      <c r="G253" s="16">
        <v>20.7</v>
      </c>
      <c r="H253" s="23">
        <f t="shared" si="6"/>
        <v>5754.5999999999995</v>
      </c>
    </row>
    <row r="254" spans="1:8" ht="13.5" thickBot="1" x14ac:dyDescent="0.25">
      <c r="A254" s="71"/>
      <c r="B254" s="13">
        <v>32</v>
      </c>
      <c r="C254" s="13">
        <v>458919</v>
      </c>
      <c r="D254" s="14" t="s">
        <v>45</v>
      </c>
      <c r="E254" s="15" t="s">
        <v>13</v>
      </c>
      <c r="F254" s="97">
        <v>63</v>
      </c>
      <c r="G254" s="16">
        <v>5.33</v>
      </c>
      <c r="H254" s="23">
        <f t="shared" si="6"/>
        <v>335.79</v>
      </c>
    </row>
    <row r="255" spans="1:8" ht="13.5" thickBot="1" x14ac:dyDescent="0.25">
      <c r="A255" s="72" t="s">
        <v>46</v>
      </c>
      <c r="B255" s="73"/>
      <c r="C255" s="73"/>
      <c r="D255" s="73"/>
      <c r="E255" s="73"/>
      <c r="F255" s="73"/>
      <c r="G255" s="74"/>
      <c r="H255" s="26">
        <f>SUM(H223:H254)</f>
        <v>2778570.71</v>
      </c>
    </row>
    <row r="256" spans="1:8" ht="13.5" thickBot="1" x14ac:dyDescent="0.25"/>
    <row r="257" spans="1:8" ht="13.5" thickBot="1" x14ac:dyDescent="0.25">
      <c r="A257" s="5" t="s">
        <v>59</v>
      </c>
      <c r="B257" s="6"/>
      <c r="C257" s="6"/>
      <c r="D257" s="6"/>
      <c r="E257" s="6"/>
      <c r="F257" s="6"/>
      <c r="G257" s="7"/>
      <c r="H257" s="8"/>
    </row>
    <row r="258" spans="1:8" ht="13.5" thickBot="1" x14ac:dyDescent="0.25">
      <c r="A258" s="9" t="s">
        <v>3</v>
      </c>
      <c r="B258" s="10" t="s">
        <v>4</v>
      </c>
      <c r="C258" s="10" t="s">
        <v>5</v>
      </c>
      <c r="D258" s="10" t="s">
        <v>6</v>
      </c>
      <c r="E258" s="10" t="s">
        <v>7</v>
      </c>
      <c r="F258" s="10" t="s">
        <v>8</v>
      </c>
      <c r="G258" s="11" t="s">
        <v>9</v>
      </c>
      <c r="H258" s="12" t="s">
        <v>10</v>
      </c>
    </row>
    <row r="259" spans="1:8" x14ac:dyDescent="0.2">
      <c r="A259" s="70" t="s">
        <v>60</v>
      </c>
      <c r="B259" s="13">
        <v>1</v>
      </c>
      <c r="C259" s="13">
        <v>282769</v>
      </c>
      <c r="D259" s="14" t="s">
        <v>12</v>
      </c>
      <c r="E259" s="15" t="s">
        <v>13</v>
      </c>
      <c r="F259" s="96">
        <f>50*7</f>
        <v>350</v>
      </c>
      <c r="G259" s="16">
        <v>29.24</v>
      </c>
      <c r="H259" s="22">
        <f>F259*G259</f>
        <v>10234</v>
      </c>
    </row>
    <row r="260" spans="1:8" x14ac:dyDescent="0.2">
      <c r="A260" s="71"/>
      <c r="B260" s="13">
        <v>2</v>
      </c>
      <c r="C260" s="13">
        <v>458921</v>
      </c>
      <c r="D260" s="14" t="s">
        <v>14</v>
      </c>
      <c r="E260" s="15" t="s">
        <v>13</v>
      </c>
      <c r="F260" s="97">
        <f>95*5</f>
        <v>475</v>
      </c>
      <c r="G260" s="16">
        <v>7.68</v>
      </c>
      <c r="H260" s="23">
        <f t="shared" ref="H260:H290" si="7">F260*G260</f>
        <v>3648</v>
      </c>
    </row>
    <row r="261" spans="1:8" x14ac:dyDescent="0.2">
      <c r="A261" s="71"/>
      <c r="B261" s="13">
        <v>3</v>
      </c>
      <c r="C261" s="13">
        <v>464553</v>
      </c>
      <c r="D261" s="14" t="s">
        <v>15</v>
      </c>
      <c r="E261" s="15" t="s">
        <v>13</v>
      </c>
      <c r="F261" s="97">
        <f>938*9</f>
        <v>8442</v>
      </c>
      <c r="G261" s="16">
        <v>6.91</v>
      </c>
      <c r="H261" s="23">
        <f t="shared" si="7"/>
        <v>58334.22</v>
      </c>
    </row>
    <row r="262" spans="1:8" x14ac:dyDescent="0.2">
      <c r="A262" s="71"/>
      <c r="B262" s="13">
        <v>4</v>
      </c>
      <c r="C262" s="13">
        <v>464552</v>
      </c>
      <c r="D262" s="14" t="s">
        <v>16</v>
      </c>
      <c r="E262" s="15" t="s">
        <v>13</v>
      </c>
      <c r="F262" s="97">
        <f>938*9</f>
        <v>8442</v>
      </c>
      <c r="G262" s="16">
        <v>9.92</v>
      </c>
      <c r="H262" s="23">
        <f t="shared" si="7"/>
        <v>83744.639999999999</v>
      </c>
    </row>
    <row r="263" spans="1:8" x14ac:dyDescent="0.2">
      <c r="A263" s="71"/>
      <c r="B263" s="13">
        <v>5</v>
      </c>
      <c r="C263" s="13">
        <v>464558</v>
      </c>
      <c r="D263" s="14" t="s">
        <v>17</v>
      </c>
      <c r="E263" s="15" t="s">
        <v>13</v>
      </c>
      <c r="F263" s="97">
        <f>671*9</f>
        <v>6039</v>
      </c>
      <c r="G263" s="16">
        <v>11.29</v>
      </c>
      <c r="H263" s="23">
        <f t="shared" si="7"/>
        <v>68180.31</v>
      </c>
    </row>
    <row r="264" spans="1:8" x14ac:dyDescent="0.2">
      <c r="A264" s="71"/>
      <c r="B264" s="13">
        <v>6</v>
      </c>
      <c r="C264" s="13">
        <v>470688</v>
      </c>
      <c r="D264" s="14" t="s">
        <v>18</v>
      </c>
      <c r="E264" s="15" t="s">
        <v>13</v>
      </c>
      <c r="F264" s="97">
        <f>104*4</f>
        <v>416</v>
      </c>
      <c r="G264" s="16">
        <v>6.64</v>
      </c>
      <c r="H264" s="23">
        <f t="shared" si="7"/>
        <v>2762.24</v>
      </c>
    </row>
    <row r="265" spans="1:8" x14ac:dyDescent="0.2">
      <c r="A265" s="71"/>
      <c r="B265" s="13">
        <v>7</v>
      </c>
      <c r="C265" s="13">
        <v>606522</v>
      </c>
      <c r="D265" s="14" t="s">
        <v>19</v>
      </c>
      <c r="E265" s="15" t="s">
        <v>13</v>
      </c>
      <c r="F265" s="97">
        <f>58*2</f>
        <v>116</v>
      </c>
      <c r="G265" s="16">
        <v>62.65</v>
      </c>
      <c r="H265" s="23">
        <f t="shared" si="7"/>
        <v>7267.4</v>
      </c>
    </row>
    <row r="266" spans="1:8" x14ac:dyDescent="0.2">
      <c r="A266" s="71"/>
      <c r="B266" s="13">
        <v>8</v>
      </c>
      <c r="C266" s="13">
        <v>222996</v>
      </c>
      <c r="D266" s="14" t="s">
        <v>20</v>
      </c>
      <c r="E266" s="15" t="s">
        <v>13</v>
      </c>
      <c r="F266" s="97">
        <f>171*5</f>
        <v>855</v>
      </c>
      <c r="G266" s="16">
        <v>54.51</v>
      </c>
      <c r="H266" s="23">
        <f t="shared" si="7"/>
        <v>46606.049999999996</v>
      </c>
    </row>
    <row r="267" spans="1:8" x14ac:dyDescent="0.2">
      <c r="A267" s="71"/>
      <c r="B267" s="13">
        <v>9</v>
      </c>
      <c r="C267" s="13">
        <v>462666</v>
      </c>
      <c r="D267" s="14" t="s">
        <v>21</v>
      </c>
      <c r="E267" s="15" t="s">
        <v>13</v>
      </c>
      <c r="F267" s="97">
        <f>171*5</f>
        <v>855</v>
      </c>
      <c r="G267" s="16">
        <v>51</v>
      </c>
      <c r="H267" s="23">
        <f t="shared" si="7"/>
        <v>43605</v>
      </c>
    </row>
    <row r="268" spans="1:8" x14ac:dyDescent="0.2">
      <c r="A268" s="71"/>
      <c r="B268" s="13">
        <v>10</v>
      </c>
      <c r="C268" s="13">
        <v>448953</v>
      </c>
      <c r="D268" s="14" t="s">
        <v>22</v>
      </c>
      <c r="E268" s="15" t="s">
        <v>13</v>
      </c>
      <c r="F268" s="97">
        <f>630*11</f>
        <v>6930</v>
      </c>
      <c r="G268" s="16">
        <v>52.07</v>
      </c>
      <c r="H268" s="23">
        <f t="shared" si="7"/>
        <v>360845.1</v>
      </c>
    </row>
    <row r="269" spans="1:8" x14ac:dyDescent="0.2">
      <c r="A269" s="71"/>
      <c r="B269" s="13">
        <v>11</v>
      </c>
      <c r="C269" s="13">
        <v>617794</v>
      </c>
      <c r="D269" s="14" t="s">
        <v>23</v>
      </c>
      <c r="E269" s="15" t="s">
        <v>13</v>
      </c>
      <c r="F269" s="97">
        <v>478</v>
      </c>
      <c r="G269" s="16">
        <v>50.4</v>
      </c>
      <c r="H269" s="23">
        <f t="shared" si="7"/>
        <v>24091.200000000001</v>
      </c>
    </row>
    <row r="270" spans="1:8" x14ac:dyDescent="0.2">
      <c r="A270" s="71"/>
      <c r="B270" s="13">
        <v>12</v>
      </c>
      <c r="C270" s="13">
        <v>446706</v>
      </c>
      <c r="D270" s="14" t="s">
        <v>24</v>
      </c>
      <c r="E270" s="15" t="s">
        <v>25</v>
      </c>
      <c r="F270" s="97">
        <f>861*3</f>
        <v>2583</v>
      </c>
      <c r="G270" s="16">
        <v>11.94</v>
      </c>
      <c r="H270" s="23">
        <f t="shared" si="7"/>
        <v>30841.02</v>
      </c>
    </row>
    <row r="271" spans="1:8" x14ac:dyDescent="0.2">
      <c r="A271" s="71"/>
      <c r="B271" s="13">
        <v>13</v>
      </c>
      <c r="C271" s="13">
        <v>446706</v>
      </c>
      <c r="D271" s="14" t="s">
        <v>26</v>
      </c>
      <c r="E271" s="15" t="s">
        <v>25</v>
      </c>
      <c r="F271" s="97">
        <f>861*4</f>
        <v>3444</v>
      </c>
      <c r="G271" s="16">
        <v>11.62</v>
      </c>
      <c r="H271" s="23">
        <f t="shared" si="7"/>
        <v>40019.279999999999</v>
      </c>
    </row>
    <row r="272" spans="1:8" x14ac:dyDescent="0.2">
      <c r="A272" s="71"/>
      <c r="B272" s="13">
        <v>14</v>
      </c>
      <c r="C272" s="13">
        <v>445995</v>
      </c>
      <c r="D272" s="14" t="s">
        <v>27</v>
      </c>
      <c r="E272" s="15" t="s">
        <v>25</v>
      </c>
      <c r="F272" s="97">
        <f>228*8</f>
        <v>1824</v>
      </c>
      <c r="G272" s="16">
        <v>4.3600000000000003</v>
      </c>
      <c r="H272" s="23">
        <f t="shared" si="7"/>
        <v>7952.64</v>
      </c>
    </row>
    <row r="273" spans="1:8" x14ac:dyDescent="0.2">
      <c r="A273" s="71"/>
      <c r="B273" s="13">
        <v>15</v>
      </c>
      <c r="C273" s="13">
        <v>282783</v>
      </c>
      <c r="D273" s="14" t="s">
        <v>28</v>
      </c>
      <c r="E273" s="15" t="s">
        <v>13</v>
      </c>
      <c r="F273" s="97">
        <v>154</v>
      </c>
      <c r="G273" s="16">
        <v>47.03</v>
      </c>
      <c r="H273" s="23">
        <f t="shared" si="7"/>
        <v>7242.62</v>
      </c>
    </row>
    <row r="274" spans="1:8" x14ac:dyDescent="0.2">
      <c r="A274" s="71"/>
      <c r="B274" s="13">
        <v>16</v>
      </c>
      <c r="C274" s="13">
        <v>464468</v>
      </c>
      <c r="D274" s="14" t="s">
        <v>29</v>
      </c>
      <c r="E274" s="15" t="s">
        <v>13</v>
      </c>
      <c r="F274" s="97">
        <f>2313*5</f>
        <v>11565</v>
      </c>
      <c r="G274" s="16">
        <v>20.92</v>
      </c>
      <c r="H274" s="23">
        <f t="shared" si="7"/>
        <v>241939.80000000002</v>
      </c>
    </row>
    <row r="275" spans="1:8" x14ac:dyDescent="0.2">
      <c r="A275" s="71"/>
      <c r="B275" s="13">
        <v>17</v>
      </c>
      <c r="C275" s="13">
        <v>464484</v>
      </c>
      <c r="D275" s="14" t="s">
        <v>30</v>
      </c>
      <c r="E275" s="15" t="s">
        <v>13</v>
      </c>
      <c r="F275" s="97">
        <f>2467*6</f>
        <v>14802</v>
      </c>
      <c r="G275" s="16">
        <v>20.309999999999999</v>
      </c>
      <c r="H275" s="23">
        <f t="shared" si="7"/>
        <v>300628.62</v>
      </c>
    </row>
    <row r="276" spans="1:8" x14ac:dyDescent="0.2">
      <c r="A276" s="71"/>
      <c r="B276" s="13">
        <v>18</v>
      </c>
      <c r="C276" s="13">
        <v>464514</v>
      </c>
      <c r="D276" s="14" t="s">
        <v>31</v>
      </c>
      <c r="E276" s="15" t="s">
        <v>13</v>
      </c>
      <c r="F276" s="97">
        <f>2467*6</f>
        <v>14802</v>
      </c>
      <c r="G276" s="16">
        <v>18.53</v>
      </c>
      <c r="H276" s="23">
        <f t="shared" si="7"/>
        <v>274281.06</v>
      </c>
    </row>
    <row r="277" spans="1:8" x14ac:dyDescent="0.2">
      <c r="A277" s="71"/>
      <c r="B277" s="13">
        <v>19</v>
      </c>
      <c r="C277" s="13">
        <v>464491</v>
      </c>
      <c r="D277" s="14" t="s">
        <v>32</v>
      </c>
      <c r="E277" s="15" t="s">
        <v>13</v>
      </c>
      <c r="F277" s="97">
        <f>1022*4</f>
        <v>4088</v>
      </c>
      <c r="G277" s="16">
        <v>25.83</v>
      </c>
      <c r="H277" s="23">
        <f t="shared" si="7"/>
        <v>105593.04</v>
      </c>
    </row>
    <row r="278" spans="1:8" x14ac:dyDescent="0.2">
      <c r="A278" s="71"/>
      <c r="B278" s="13">
        <v>20</v>
      </c>
      <c r="C278" s="13">
        <v>282785</v>
      </c>
      <c r="D278" s="14" t="s">
        <v>33</v>
      </c>
      <c r="E278" s="15" t="s">
        <v>13</v>
      </c>
      <c r="F278" s="97">
        <f>2467*5</f>
        <v>12335</v>
      </c>
      <c r="G278" s="16">
        <v>25.4</v>
      </c>
      <c r="H278" s="23">
        <f t="shared" si="7"/>
        <v>313309</v>
      </c>
    </row>
    <row r="279" spans="1:8" x14ac:dyDescent="0.2">
      <c r="A279" s="71"/>
      <c r="B279" s="13">
        <v>21</v>
      </c>
      <c r="C279" s="13">
        <v>464474</v>
      </c>
      <c r="D279" s="14" t="s">
        <v>34</v>
      </c>
      <c r="E279" s="15" t="s">
        <v>13</v>
      </c>
      <c r="F279" s="97">
        <f>2467*5</f>
        <v>12335</v>
      </c>
      <c r="G279" s="16">
        <v>30.57</v>
      </c>
      <c r="H279" s="23">
        <f t="shared" si="7"/>
        <v>377080.95</v>
      </c>
    </row>
    <row r="280" spans="1:8" x14ac:dyDescent="0.2">
      <c r="A280" s="71"/>
      <c r="B280" s="13">
        <v>22</v>
      </c>
      <c r="C280" s="13">
        <v>464475</v>
      </c>
      <c r="D280" s="14" t="s">
        <v>35</v>
      </c>
      <c r="E280" s="15" t="s">
        <v>13</v>
      </c>
      <c r="F280" s="97">
        <f>2125*4</f>
        <v>8500</v>
      </c>
      <c r="G280" s="16">
        <v>18.72</v>
      </c>
      <c r="H280" s="23">
        <f t="shared" si="7"/>
        <v>159120</v>
      </c>
    </row>
    <row r="281" spans="1:8" x14ac:dyDescent="0.2">
      <c r="A281" s="71"/>
      <c r="B281" s="13">
        <v>23</v>
      </c>
      <c r="C281" s="13">
        <v>464485</v>
      </c>
      <c r="D281" s="14" t="s">
        <v>36</v>
      </c>
      <c r="E281" s="15" t="s">
        <v>13</v>
      </c>
      <c r="F281" s="97">
        <f>1052*3</f>
        <v>3156</v>
      </c>
      <c r="G281" s="16">
        <v>24</v>
      </c>
      <c r="H281" s="23">
        <f t="shared" si="7"/>
        <v>75744</v>
      </c>
    </row>
    <row r="282" spans="1:8" x14ac:dyDescent="0.2">
      <c r="A282" s="71"/>
      <c r="B282" s="13">
        <v>24</v>
      </c>
      <c r="C282" s="13">
        <v>282786</v>
      </c>
      <c r="D282" s="14" t="s">
        <v>37</v>
      </c>
      <c r="E282" s="15" t="s">
        <v>13</v>
      </c>
      <c r="F282" s="97">
        <v>528</v>
      </c>
      <c r="G282" s="16">
        <v>25.83</v>
      </c>
      <c r="H282" s="23">
        <f t="shared" si="7"/>
        <v>13638.24</v>
      </c>
    </row>
    <row r="283" spans="1:8" x14ac:dyDescent="0.2">
      <c r="A283" s="71"/>
      <c r="B283" s="13">
        <v>25</v>
      </c>
      <c r="C283" s="13">
        <v>464511</v>
      </c>
      <c r="D283" s="14" t="s">
        <v>38</v>
      </c>
      <c r="E283" s="15" t="s">
        <v>13</v>
      </c>
      <c r="F283" s="97">
        <f>702*2</f>
        <v>1404</v>
      </c>
      <c r="G283" s="16">
        <v>17.399999999999999</v>
      </c>
      <c r="H283" s="23">
        <f t="shared" si="7"/>
        <v>24429.599999999999</v>
      </c>
    </row>
    <row r="284" spans="1:8" x14ac:dyDescent="0.2">
      <c r="A284" s="71"/>
      <c r="B284" s="13">
        <v>26</v>
      </c>
      <c r="C284" s="13">
        <v>405351</v>
      </c>
      <c r="D284" s="14" t="s">
        <v>39</v>
      </c>
      <c r="E284" s="15" t="s">
        <v>13</v>
      </c>
      <c r="F284" s="97">
        <f>196*5</f>
        <v>980</v>
      </c>
      <c r="G284" s="16">
        <v>38</v>
      </c>
      <c r="H284" s="23">
        <f t="shared" si="7"/>
        <v>37240</v>
      </c>
    </row>
    <row r="285" spans="1:8" x14ac:dyDescent="0.2">
      <c r="A285" s="71"/>
      <c r="B285" s="13">
        <v>27</v>
      </c>
      <c r="C285" s="13">
        <v>446393</v>
      </c>
      <c r="D285" s="14" t="s">
        <v>40</v>
      </c>
      <c r="E285" s="15" t="s">
        <v>13</v>
      </c>
      <c r="F285" s="97">
        <f>63*6</f>
        <v>378</v>
      </c>
      <c r="G285" s="16">
        <v>49.85</v>
      </c>
      <c r="H285" s="23">
        <f t="shared" si="7"/>
        <v>18843.3</v>
      </c>
    </row>
    <row r="286" spans="1:8" x14ac:dyDescent="0.2">
      <c r="A286" s="71"/>
      <c r="B286" s="13">
        <v>28</v>
      </c>
      <c r="C286" s="13">
        <v>446633</v>
      </c>
      <c r="D286" s="14" t="s">
        <v>41</v>
      </c>
      <c r="E286" s="15" t="s">
        <v>13</v>
      </c>
      <c r="F286" s="97">
        <f>554*9</f>
        <v>4986</v>
      </c>
      <c r="G286" s="16">
        <v>46.79</v>
      </c>
      <c r="H286" s="23">
        <f t="shared" si="7"/>
        <v>233294.94</v>
      </c>
    </row>
    <row r="287" spans="1:8" x14ac:dyDescent="0.2">
      <c r="A287" s="71"/>
      <c r="B287" s="13">
        <v>29</v>
      </c>
      <c r="C287" s="13">
        <v>282788</v>
      </c>
      <c r="D287" s="14" t="s">
        <v>42</v>
      </c>
      <c r="E287" s="15" t="s">
        <v>13</v>
      </c>
      <c r="F287" s="97">
        <v>314</v>
      </c>
      <c r="G287" s="16">
        <v>37.25</v>
      </c>
      <c r="H287" s="23">
        <f t="shared" si="7"/>
        <v>11696.5</v>
      </c>
    </row>
    <row r="288" spans="1:8" x14ac:dyDescent="0.2">
      <c r="A288" s="71"/>
      <c r="B288" s="13">
        <v>30</v>
      </c>
      <c r="C288" s="13">
        <v>470690</v>
      </c>
      <c r="D288" s="14" t="s">
        <v>43</v>
      </c>
      <c r="E288" s="15" t="s">
        <v>13</v>
      </c>
      <c r="F288" s="97">
        <v>630</v>
      </c>
      <c r="G288" s="16">
        <v>29.93</v>
      </c>
      <c r="H288" s="23">
        <f t="shared" si="7"/>
        <v>18855.900000000001</v>
      </c>
    </row>
    <row r="289" spans="1:8" x14ac:dyDescent="0.2">
      <c r="A289" s="71"/>
      <c r="B289" s="13">
        <v>31</v>
      </c>
      <c r="C289" s="13">
        <v>460397</v>
      </c>
      <c r="D289" s="14" t="s">
        <v>44</v>
      </c>
      <c r="E289" s="15" t="s">
        <v>13</v>
      </c>
      <c r="F289" s="97">
        <v>273</v>
      </c>
      <c r="G289" s="16">
        <v>20.7</v>
      </c>
      <c r="H289" s="23">
        <f t="shared" si="7"/>
        <v>5651.0999999999995</v>
      </c>
    </row>
    <row r="290" spans="1:8" ht="13.5" thickBot="1" x14ac:dyDescent="0.25">
      <c r="A290" s="71"/>
      <c r="B290" s="13">
        <v>32</v>
      </c>
      <c r="C290" s="13">
        <v>458919</v>
      </c>
      <c r="D290" s="14" t="s">
        <v>45</v>
      </c>
      <c r="E290" s="15" t="s">
        <v>13</v>
      </c>
      <c r="F290" s="97">
        <v>78</v>
      </c>
      <c r="G290" s="16">
        <v>5.27</v>
      </c>
      <c r="H290" s="23">
        <f t="shared" si="7"/>
        <v>411.05999999999995</v>
      </c>
    </row>
    <row r="291" spans="1:8" ht="13.5" thickBot="1" x14ac:dyDescent="0.25">
      <c r="A291" s="67" t="s">
        <v>46</v>
      </c>
      <c r="B291" s="68"/>
      <c r="C291" s="68"/>
      <c r="D291" s="68"/>
      <c r="E291" s="68"/>
      <c r="F291" s="68"/>
      <c r="G291" s="69"/>
      <c r="H291" s="20">
        <f>SUM(H259:H290)</f>
        <v>3007130.8300000005</v>
      </c>
    </row>
    <row r="292" spans="1:8" ht="13.5" thickBot="1" x14ac:dyDescent="0.25"/>
    <row r="293" spans="1:8" ht="13.5" thickBot="1" x14ac:dyDescent="0.25">
      <c r="A293" s="5" t="s">
        <v>61</v>
      </c>
      <c r="B293" s="6"/>
      <c r="C293" s="6"/>
      <c r="D293" s="6"/>
      <c r="E293" s="6"/>
      <c r="F293" s="6"/>
      <c r="G293" s="7"/>
      <c r="H293" s="8"/>
    </row>
    <row r="294" spans="1:8" ht="13.5" thickBot="1" x14ac:dyDescent="0.25">
      <c r="A294" s="9" t="s">
        <v>3</v>
      </c>
      <c r="B294" s="10" t="s">
        <v>4</v>
      </c>
      <c r="C294" s="10" t="s">
        <v>5</v>
      </c>
      <c r="D294" s="10" t="s">
        <v>6</v>
      </c>
      <c r="E294" s="10" t="s">
        <v>7</v>
      </c>
      <c r="F294" s="10" t="s">
        <v>8</v>
      </c>
      <c r="G294" s="11" t="s">
        <v>9</v>
      </c>
      <c r="H294" s="12" t="s">
        <v>10</v>
      </c>
    </row>
    <row r="295" spans="1:8" x14ac:dyDescent="0.2">
      <c r="A295" s="70" t="s">
        <v>62</v>
      </c>
      <c r="B295" s="13">
        <v>1</v>
      </c>
      <c r="C295" s="13">
        <v>282769</v>
      </c>
      <c r="D295" s="14" t="s">
        <v>12</v>
      </c>
      <c r="E295" s="15" t="s">
        <v>13</v>
      </c>
      <c r="F295" s="96">
        <f>48*7</f>
        <v>336</v>
      </c>
      <c r="G295" s="16">
        <v>29.24</v>
      </c>
      <c r="H295" s="22">
        <f>F295*G295</f>
        <v>9824.64</v>
      </c>
    </row>
    <row r="296" spans="1:8" x14ac:dyDescent="0.2">
      <c r="A296" s="71"/>
      <c r="B296" s="13">
        <v>2</v>
      </c>
      <c r="C296" s="13">
        <v>458921</v>
      </c>
      <c r="D296" s="14" t="s">
        <v>14</v>
      </c>
      <c r="E296" s="15" t="s">
        <v>13</v>
      </c>
      <c r="F296" s="97">
        <f>90*5</f>
        <v>450</v>
      </c>
      <c r="G296" s="16">
        <v>7.68</v>
      </c>
      <c r="H296" s="23">
        <f t="shared" ref="H296:H326" si="8">F296*G296</f>
        <v>3456</v>
      </c>
    </row>
    <row r="297" spans="1:8" x14ac:dyDescent="0.2">
      <c r="A297" s="71"/>
      <c r="B297" s="13">
        <v>3</v>
      </c>
      <c r="C297" s="13">
        <v>464553</v>
      </c>
      <c r="D297" s="14" t="s">
        <v>15</v>
      </c>
      <c r="E297" s="15" t="s">
        <v>13</v>
      </c>
      <c r="F297" s="97">
        <f>1239*9</f>
        <v>11151</v>
      </c>
      <c r="G297" s="16">
        <v>6.91</v>
      </c>
      <c r="H297" s="23">
        <f t="shared" si="8"/>
        <v>77053.41</v>
      </c>
    </row>
    <row r="298" spans="1:8" x14ac:dyDescent="0.2">
      <c r="A298" s="71"/>
      <c r="B298" s="13">
        <v>4</v>
      </c>
      <c r="C298" s="13">
        <v>464552</v>
      </c>
      <c r="D298" s="14" t="s">
        <v>16</v>
      </c>
      <c r="E298" s="15" t="s">
        <v>13</v>
      </c>
      <c r="F298" s="97">
        <f>1239*9</f>
        <v>11151</v>
      </c>
      <c r="G298" s="16">
        <v>9.92</v>
      </c>
      <c r="H298" s="23">
        <f t="shared" si="8"/>
        <v>110617.92</v>
      </c>
    </row>
    <row r="299" spans="1:8" x14ac:dyDescent="0.2">
      <c r="A299" s="71"/>
      <c r="B299" s="13">
        <v>5</v>
      </c>
      <c r="C299" s="13">
        <v>464558</v>
      </c>
      <c r="D299" s="14" t="s">
        <v>17</v>
      </c>
      <c r="E299" s="15" t="s">
        <v>13</v>
      </c>
      <c r="F299" s="97">
        <f>889*9</f>
        <v>8001</v>
      </c>
      <c r="G299" s="16">
        <v>11.29</v>
      </c>
      <c r="H299" s="23">
        <f t="shared" si="8"/>
        <v>90331.29</v>
      </c>
    </row>
    <row r="300" spans="1:8" x14ac:dyDescent="0.2">
      <c r="A300" s="71"/>
      <c r="B300" s="13">
        <v>6</v>
      </c>
      <c r="C300" s="13">
        <v>470688</v>
      </c>
      <c r="D300" s="14" t="s">
        <v>18</v>
      </c>
      <c r="E300" s="15" t="s">
        <v>13</v>
      </c>
      <c r="F300" s="97">
        <f>126*4</f>
        <v>504</v>
      </c>
      <c r="G300" s="16">
        <v>6.82</v>
      </c>
      <c r="H300" s="23">
        <f t="shared" si="8"/>
        <v>3437.28</v>
      </c>
    </row>
    <row r="301" spans="1:8" x14ac:dyDescent="0.2">
      <c r="A301" s="71"/>
      <c r="B301" s="13">
        <v>7</v>
      </c>
      <c r="C301" s="13">
        <v>606522</v>
      </c>
      <c r="D301" s="14" t="s">
        <v>19</v>
      </c>
      <c r="E301" s="15" t="s">
        <v>13</v>
      </c>
      <c r="F301" s="97">
        <f>60*2</f>
        <v>120</v>
      </c>
      <c r="G301" s="16">
        <v>62.65</v>
      </c>
      <c r="H301" s="23">
        <f t="shared" si="8"/>
        <v>7518</v>
      </c>
    </row>
    <row r="302" spans="1:8" x14ac:dyDescent="0.2">
      <c r="A302" s="71"/>
      <c r="B302" s="13">
        <v>8</v>
      </c>
      <c r="C302" s="13">
        <v>222996</v>
      </c>
      <c r="D302" s="14" t="s">
        <v>20</v>
      </c>
      <c r="E302" s="15" t="s">
        <v>13</v>
      </c>
      <c r="F302" s="97">
        <f>214*5</f>
        <v>1070</v>
      </c>
      <c r="G302" s="16">
        <v>54.51</v>
      </c>
      <c r="H302" s="23">
        <f t="shared" si="8"/>
        <v>58325.7</v>
      </c>
    </row>
    <row r="303" spans="1:8" x14ac:dyDescent="0.2">
      <c r="A303" s="71"/>
      <c r="B303" s="13">
        <v>9</v>
      </c>
      <c r="C303" s="13">
        <v>462666</v>
      </c>
      <c r="D303" s="14" t="s">
        <v>21</v>
      </c>
      <c r="E303" s="15" t="s">
        <v>13</v>
      </c>
      <c r="F303" s="97">
        <f>214*5</f>
        <v>1070</v>
      </c>
      <c r="G303" s="16">
        <v>51</v>
      </c>
      <c r="H303" s="23">
        <f t="shared" si="8"/>
        <v>54570</v>
      </c>
    </row>
    <row r="304" spans="1:8" x14ac:dyDescent="0.2">
      <c r="A304" s="71"/>
      <c r="B304" s="13">
        <v>10</v>
      </c>
      <c r="C304" s="13">
        <v>448953</v>
      </c>
      <c r="D304" s="14" t="s">
        <v>22</v>
      </c>
      <c r="E304" s="15" t="s">
        <v>13</v>
      </c>
      <c r="F304" s="97">
        <f>828*11</f>
        <v>9108</v>
      </c>
      <c r="G304" s="16">
        <v>52.2</v>
      </c>
      <c r="H304" s="23">
        <f t="shared" si="8"/>
        <v>475437.60000000003</v>
      </c>
    </row>
    <row r="305" spans="1:8" x14ac:dyDescent="0.2">
      <c r="A305" s="71"/>
      <c r="B305" s="13">
        <v>11</v>
      </c>
      <c r="C305" s="13">
        <v>617794</v>
      </c>
      <c r="D305" s="14" t="s">
        <v>23</v>
      </c>
      <c r="E305" s="15" t="s">
        <v>13</v>
      </c>
      <c r="F305" s="97">
        <v>619</v>
      </c>
      <c r="G305" s="16">
        <v>50.59</v>
      </c>
      <c r="H305" s="23">
        <f t="shared" si="8"/>
        <v>31315.210000000003</v>
      </c>
    </row>
    <row r="306" spans="1:8" x14ac:dyDescent="0.2">
      <c r="A306" s="71"/>
      <c r="B306" s="13">
        <v>12</v>
      </c>
      <c r="C306" s="13">
        <v>446706</v>
      </c>
      <c r="D306" s="14" t="s">
        <v>24</v>
      </c>
      <c r="E306" s="15" t="s">
        <v>25</v>
      </c>
      <c r="F306" s="97">
        <f>1133*3</f>
        <v>3399</v>
      </c>
      <c r="G306" s="16">
        <v>11.94</v>
      </c>
      <c r="H306" s="23">
        <f t="shared" si="8"/>
        <v>40584.06</v>
      </c>
    </row>
    <row r="307" spans="1:8" x14ac:dyDescent="0.2">
      <c r="A307" s="71"/>
      <c r="B307" s="13">
        <v>13</v>
      </c>
      <c r="C307" s="13">
        <v>446706</v>
      </c>
      <c r="D307" s="14" t="s">
        <v>26</v>
      </c>
      <c r="E307" s="15" t="s">
        <v>25</v>
      </c>
      <c r="F307" s="97">
        <f>1133*4</f>
        <v>4532</v>
      </c>
      <c r="G307" s="16">
        <v>11.62</v>
      </c>
      <c r="H307" s="23">
        <f t="shared" si="8"/>
        <v>52661.84</v>
      </c>
    </row>
    <row r="308" spans="1:8" x14ac:dyDescent="0.2">
      <c r="A308" s="71"/>
      <c r="B308" s="13">
        <v>14</v>
      </c>
      <c r="C308" s="13">
        <v>445995</v>
      </c>
      <c r="D308" s="14" t="s">
        <v>27</v>
      </c>
      <c r="E308" s="15" t="s">
        <v>25</v>
      </c>
      <c r="F308" s="97">
        <f>236*8</f>
        <v>1888</v>
      </c>
      <c r="G308" s="16">
        <v>4.3600000000000003</v>
      </c>
      <c r="H308" s="23">
        <f t="shared" si="8"/>
        <v>8231.68</v>
      </c>
    </row>
    <row r="309" spans="1:8" x14ac:dyDescent="0.2">
      <c r="A309" s="71"/>
      <c r="B309" s="13">
        <v>15</v>
      </c>
      <c r="C309" s="13">
        <v>282783</v>
      </c>
      <c r="D309" s="14" t="s">
        <v>28</v>
      </c>
      <c r="E309" s="15" t="s">
        <v>13</v>
      </c>
      <c r="F309" s="97">
        <v>205</v>
      </c>
      <c r="G309" s="16">
        <v>47.03</v>
      </c>
      <c r="H309" s="23">
        <f t="shared" si="8"/>
        <v>9641.15</v>
      </c>
    </row>
    <row r="310" spans="1:8" x14ac:dyDescent="0.2">
      <c r="A310" s="71"/>
      <c r="B310" s="13">
        <v>16</v>
      </c>
      <c r="C310" s="13">
        <v>464468</v>
      </c>
      <c r="D310" s="14" t="s">
        <v>29</v>
      </c>
      <c r="E310" s="15" t="s">
        <v>13</v>
      </c>
      <c r="F310" s="97">
        <f>2384*5</f>
        <v>11920</v>
      </c>
      <c r="G310" s="16">
        <v>20.93</v>
      </c>
      <c r="H310" s="23">
        <f t="shared" si="8"/>
        <v>249485.6</v>
      </c>
    </row>
    <row r="311" spans="1:8" x14ac:dyDescent="0.2">
      <c r="A311" s="71"/>
      <c r="B311" s="13">
        <v>17</v>
      </c>
      <c r="C311" s="13">
        <v>464484</v>
      </c>
      <c r="D311" s="14" t="s">
        <v>30</v>
      </c>
      <c r="E311" s="15" t="s">
        <v>13</v>
      </c>
      <c r="F311" s="97">
        <f>2597*6</f>
        <v>15582</v>
      </c>
      <c r="G311" s="16">
        <v>20.309999999999999</v>
      </c>
      <c r="H311" s="23">
        <f t="shared" si="8"/>
        <v>316470.42</v>
      </c>
    </row>
    <row r="312" spans="1:8" x14ac:dyDescent="0.2">
      <c r="A312" s="71"/>
      <c r="B312" s="13">
        <v>18</v>
      </c>
      <c r="C312" s="13">
        <v>464514</v>
      </c>
      <c r="D312" s="14" t="s">
        <v>31</v>
      </c>
      <c r="E312" s="15" t="s">
        <v>13</v>
      </c>
      <c r="F312" s="97">
        <f>2597*6</f>
        <v>15582</v>
      </c>
      <c r="G312" s="16">
        <v>18.43</v>
      </c>
      <c r="H312" s="23">
        <f t="shared" si="8"/>
        <v>287176.26</v>
      </c>
    </row>
    <row r="313" spans="1:8" x14ac:dyDescent="0.2">
      <c r="A313" s="71"/>
      <c r="B313" s="13">
        <v>19</v>
      </c>
      <c r="C313" s="13">
        <v>464491</v>
      </c>
      <c r="D313" s="14" t="s">
        <v>32</v>
      </c>
      <c r="E313" s="15" t="s">
        <v>13</v>
      </c>
      <c r="F313" s="97">
        <f>903*4</f>
        <v>3612</v>
      </c>
      <c r="G313" s="16">
        <v>25.87</v>
      </c>
      <c r="H313" s="23">
        <f t="shared" si="8"/>
        <v>93442.44</v>
      </c>
    </row>
    <row r="314" spans="1:8" x14ac:dyDescent="0.2">
      <c r="A314" s="71"/>
      <c r="B314" s="13">
        <v>20</v>
      </c>
      <c r="C314" s="13">
        <v>282785</v>
      </c>
      <c r="D314" s="14" t="s">
        <v>33</v>
      </c>
      <c r="E314" s="15" t="s">
        <v>13</v>
      </c>
      <c r="F314" s="97">
        <f>2597*5</f>
        <v>12985</v>
      </c>
      <c r="G314" s="16">
        <v>25.4</v>
      </c>
      <c r="H314" s="23">
        <f t="shared" si="8"/>
        <v>329819</v>
      </c>
    </row>
    <row r="315" spans="1:8" x14ac:dyDescent="0.2">
      <c r="A315" s="71"/>
      <c r="B315" s="13">
        <v>21</v>
      </c>
      <c r="C315" s="13">
        <v>464474</v>
      </c>
      <c r="D315" s="14" t="s">
        <v>34</v>
      </c>
      <c r="E315" s="15" t="s">
        <v>13</v>
      </c>
      <c r="F315" s="97">
        <f>2597*5</f>
        <v>12985</v>
      </c>
      <c r="G315" s="16">
        <v>30.62</v>
      </c>
      <c r="H315" s="23">
        <f t="shared" si="8"/>
        <v>397600.7</v>
      </c>
    </row>
    <row r="316" spans="1:8" x14ac:dyDescent="0.2">
      <c r="A316" s="71"/>
      <c r="B316" s="13">
        <v>22</v>
      </c>
      <c r="C316" s="13">
        <v>464475</v>
      </c>
      <c r="D316" s="14" t="s">
        <v>35</v>
      </c>
      <c r="E316" s="15" t="s">
        <v>13</v>
      </c>
      <c r="F316" s="97">
        <f>2597*4</f>
        <v>10388</v>
      </c>
      <c r="G316" s="16">
        <v>18.73</v>
      </c>
      <c r="H316" s="23">
        <f t="shared" si="8"/>
        <v>194567.24</v>
      </c>
    </row>
    <row r="317" spans="1:8" x14ac:dyDescent="0.2">
      <c r="A317" s="71"/>
      <c r="B317" s="13">
        <v>23</v>
      </c>
      <c r="C317" s="13">
        <v>464485</v>
      </c>
      <c r="D317" s="14" t="s">
        <v>36</v>
      </c>
      <c r="E317" s="15" t="s">
        <v>13</v>
      </c>
      <c r="F317" s="97">
        <f>1371*3</f>
        <v>4113</v>
      </c>
      <c r="G317" s="16">
        <v>24</v>
      </c>
      <c r="H317" s="23">
        <f t="shared" si="8"/>
        <v>98712</v>
      </c>
    </row>
    <row r="318" spans="1:8" x14ac:dyDescent="0.2">
      <c r="A318" s="71"/>
      <c r="B318" s="13">
        <v>24</v>
      </c>
      <c r="C318" s="13">
        <v>282786</v>
      </c>
      <c r="D318" s="14" t="s">
        <v>37</v>
      </c>
      <c r="E318" s="15" t="s">
        <v>13</v>
      </c>
      <c r="F318" s="97">
        <v>691</v>
      </c>
      <c r="G318" s="16">
        <v>25.83</v>
      </c>
      <c r="H318" s="23">
        <f t="shared" si="8"/>
        <v>17848.53</v>
      </c>
    </row>
    <row r="319" spans="1:8" x14ac:dyDescent="0.2">
      <c r="A319" s="71"/>
      <c r="B319" s="13">
        <v>25</v>
      </c>
      <c r="C319" s="13">
        <v>464511</v>
      </c>
      <c r="D319" s="14" t="s">
        <v>38</v>
      </c>
      <c r="E319" s="15" t="s">
        <v>13</v>
      </c>
      <c r="F319" s="97">
        <f>688*2</f>
        <v>1376</v>
      </c>
      <c r="G319" s="16">
        <v>17.399999999999999</v>
      </c>
      <c r="H319" s="23">
        <f t="shared" si="8"/>
        <v>23942.399999999998</v>
      </c>
    </row>
    <row r="320" spans="1:8" x14ac:dyDescent="0.2">
      <c r="A320" s="71"/>
      <c r="B320" s="13">
        <v>26</v>
      </c>
      <c r="C320" s="13">
        <v>405351</v>
      </c>
      <c r="D320" s="14" t="s">
        <v>39</v>
      </c>
      <c r="E320" s="15" t="s">
        <v>13</v>
      </c>
      <c r="F320" s="97">
        <f>206*5</f>
        <v>1030</v>
      </c>
      <c r="G320" s="16">
        <v>38</v>
      </c>
      <c r="H320" s="23">
        <f t="shared" si="8"/>
        <v>39140</v>
      </c>
    </row>
    <row r="321" spans="1:8" x14ac:dyDescent="0.2">
      <c r="A321" s="71"/>
      <c r="B321" s="13">
        <v>27</v>
      </c>
      <c r="C321" s="13">
        <v>446393</v>
      </c>
      <c r="D321" s="14" t="s">
        <v>40</v>
      </c>
      <c r="E321" s="15" t="s">
        <v>13</v>
      </c>
      <c r="F321" s="97">
        <f>67*6</f>
        <v>402</v>
      </c>
      <c r="G321" s="16">
        <v>49.85</v>
      </c>
      <c r="H321" s="23">
        <f t="shared" si="8"/>
        <v>20039.7</v>
      </c>
    </row>
    <row r="322" spans="1:8" x14ac:dyDescent="0.2">
      <c r="A322" s="71"/>
      <c r="B322" s="13">
        <v>28</v>
      </c>
      <c r="C322" s="13">
        <v>446633</v>
      </c>
      <c r="D322" s="14" t="s">
        <v>41</v>
      </c>
      <c r="E322" s="15" t="s">
        <v>13</v>
      </c>
      <c r="F322" s="97">
        <f>634*9</f>
        <v>5706</v>
      </c>
      <c r="G322" s="16">
        <v>46.79</v>
      </c>
      <c r="H322" s="23">
        <f t="shared" si="8"/>
        <v>266983.74</v>
      </c>
    </row>
    <row r="323" spans="1:8" x14ac:dyDescent="0.2">
      <c r="A323" s="71"/>
      <c r="B323" s="13">
        <v>29</v>
      </c>
      <c r="C323" s="13">
        <v>282788</v>
      </c>
      <c r="D323" s="14" t="s">
        <v>42</v>
      </c>
      <c r="E323" s="15" t="s">
        <v>13</v>
      </c>
      <c r="F323" s="97">
        <v>321</v>
      </c>
      <c r="G323" s="16">
        <v>37.25</v>
      </c>
      <c r="H323" s="23">
        <f t="shared" si="8"/>
        <v>11957.25</v>
      </c>
    </row>
    <row r="324" spans="1:8" x14ac:dyDescent="0.2">
      <c r="A324" s="71"/>
      <c r="B324" s="13">
        <v>30</v>
      </c>
      <c r="C324" s="13">
        <v>470690</v>
      </c>
      <c r="D324" s="14" t="s">
        <v>43</v>
      </c>
      <c r="E324" s="15" t="s">
        <v>13</v>
      </c>
      <c r="F324" s="97">
        <v>828</v>
      </c>
      <c r="G324" s="16">
        <v>29.93</v>
      </c>
      <c r="H324" s="23">
        <f>F324*G324</f>
        <v>24782.04</v>
      </c>
    </row>
    <row r="325" spans="1:8" x14ac:dyDescent="0.2">
      <c r="A325" s="71"/>
      <c r="B325" s="13">
        <v>31</v>
      </c>
      <c r="C325" s="13">
        <v>460397</v>
      </c>
      <c r="D325" s="14" t="s">
        <v>44</v>
      </c>
      <c r="E325" s="15" t="s">
        <v>13</v>
      </c>
      <c r="F325" s="97">
        <v>351</v>
      </c>
      <c r="G325" s="16">
        <v>20.7</v>
      </c>
      <c r="H325" s="23">
        <f t="shared" si="8"/>
        <v>7265.7</v>
      </c>
    </row>
    <row r="326" spans="1:8" ht="13.5" thickBot="1" x14ac:dyDescent="0.25">
      <c r="A326" s="71"/>
      <c r="B326" s="13">
        <v>32</v>
      </c>
      <c r="C326" s="13">
        <v>458919</v>
      </c>
      <c r="D326" s="14" t="s">
        <v>45</v>
      </c>
      <c r="E326" s="15" t="s">
        <v>13</v>
      </c>
      <c r="F326" s="97">
        <v>88</v>
      </c>
      <c r="G326" s="16">
        <v>5.27</v>
      </c>
      <c r="H326" s="23">
        <f t="shared" si="8"/>
        <v>463.76</v>
      </c>
    </row>
    <row r="327" spans="1:8" ht="13.5" thickBot="1" x14ac:dyDescent="0.25">
      <c r="A327" s="67" t="s">
        <v>46</v>
      </c>
      <c r="B327" s="68"/>
      <c r="C327" s="68"/>
      <c r="D327" s="68"/>
      <c r="E327" s="68"/>
      <c r="F327" s="68"/>
      <c r="G327" s="69"/>
      <c r="H327" s="20">
        <f>SUM(H295:H326)</f>
        <v>3412702.5600000005</v>
      </c>
    </row>
    <row r="328" spans="1:8" ht="13.5" thickBot="1" x14ac:dyDescent="0.25"/>
    <row r="329" spans="1:8" ht="13.5" thickBot="1" x14ac:dyDescent="0.25">
      <c r="A329" s="5" t="s">
        <v>63</v>
      </c>
      <c r="B329" s="6"/>
      <c r="C329" s="6"/>
      <c r="D329" s="6"/>
      <c r="E329" s="6"/>
      <c r="F329" s="6"/>
      <c r="G329" s="7"/>
      <c r="H329" s="8"/>
    </row>
    <row r="330" spans="1:8" ht="13.5" thickBot="1" x14ac:dyDescent="0.25">
      <c r="A330" s="30" t="s">
        <v>3</v>
      </c>
      <c r="B330" s="31" t="s">
        <v>4</v>
      </c>
      <c r="C330" s="10" t="s">
        <v>5</v>
      </c>
      <c r="D330" s="31" t="s">
        <v>6</v>
      </c>
      <c r="E330" s="31" t="s">
        <v>7</v>
      </c>
      <c r="F330" s="31" t="s">
        <v>8</v>
      </c>
      <c r="G330" s="32" t="s">
        <v>9</v>
      </c>
      <c r="H330" s="33" t="s">
        <v>10</v>
      </c>
    </row>
    <row r="331" spans="1:8" x14ac:dyDescent="0.2">
      <c r="A331" s="71" t="s">
        <v>64</v>
      </c>
      <c r="B331" s="13">
        <v>1</v>
      </c>
      <c r="C331" s="13">
        <v>282769</v>
      </c>
      <c r="D331" s="14" t="s">
        <v>12</v>
      </c>
      <c r="E331" s="15" t="s">
        <v>13</v>
      </c>
      <c r="F331" s="98">
        <f>21*7</f>
        <v>147</v>
      </c>
      <c r="G331" s="16">
        <v>29.98</v>
      </c>
      <c r="H331" s="34">
        <f>F331*G331</f>
        <v>4407.0600000000004</v>
      </c>
    </row>
    <row r="332" spans="1:8" x14ac:dyDescent="0.2">
      <c r="A332" s="71"/>
      <c r="B332" s="13">
        <v>2</v>
      </c>
      <c r="C332" s="13">
        <v>458921</v>
      </c>
      <c r="D332" s="14" t="s">
        <v>14</v>
      </c>
      <c r="E332" s="15" t="s">
        <v>13</v>
      </c>
      <c r="F332" s="97">
        <f>30*5</f>
        <v>150</v>
      </c>
      <c r="G332" s="16">
        <v>7.68</v>
      </c>
      <c r="H332" s="23">
        <f t="shared" ref="H332:H361" si="9">F332*G332</f>
        <v>1152</v>
      </c>
    </row>
    <row r="333" spans="1:8" x14ac:dyDescent="0.2">
      <c r="A333" s="71"/>
      <c r="B333" s="13">
        <v>3</v>
      </c>
      <c r="C333" s="13">
        <v>464553</v>
      </c>
      <c r="D333" s="14" t="s">
        <v>15</v>
      </c>
      <c r="E333" s="15" t="s">
        <v>13</v>
      </c>
      <c r="F333" s="97">
        <f>383*9</f>
        <v>3447</v>
      </c>
      <c r="G333" s="16">
        <v>6.91</v>
      </c>
      <c r="H333" s="23">
        <f t="shared" si="9"/>
        <v>23818.77</v>
      </c>
    </row>
    <row r="334" spans="1:8" x14ac:dyDescent="0.2">
      <c r="A334" s="71"/>
      <c r="B334" s="13">
        <v>4</v>
      </c>
      <c r="C334" s="13">
        <v>464552</v>
      </c>
      <c r="D334" s="14" t="s">
        <v>16</v>
      </c>
      <c r="E334" s="15" t="s">
        <v>13</v>
      </c>
      <c r="F334" s="97">
        <f>383*9</f>
        <v>3447</v>
      </c>
      <c r="G334" s="16">
        <v>9.92</v>
      </c>
      <c r="H334" s="23">
        <f t="shared" si="9"/>
        <v>34194.239999999998</v>
      </c>
    </row>
    <row r="335" spans="1:8" x14ac:dyDescent="0.2">
      <c r="A335" s="71"/>
      <c r="B335" s="13">
        <v>5</v>
      </c>
      <c r="C335" s="13">
        <v>464558</v>
      </c>
      <c r="D335" s="14" t="s">
        <v>17</v>
      </c>
      <c r="E335" s="15" t="s">
        <v>13</v>
      </c>
      <c r="F335" s="97">
        <f>257*9</f>
        <v>2313</v>
      </c>
      <c r="G335" s="16">
        <v>11.29</v>
      </c>
      <c r="H335" s="23">
        <f t="shared" si="9"/>
        <v>26113.769999999997</v>
      </c>
    </row>
    <row r="336" spans="1:8" x14ac:dyDescent="0.2">
      <c r="A336" s="71"/>
      <c r="B336" s="13">
        <v>6</v>
      </c>
      <c r="C336" s="13">
        <v>470688</v>
      </c>
      <c r="D336" s="14" t="s">
        <v>18</v>
      </c>
      <c r="E336" s="15" t="s">
        <v>13</v>
      </c>
      <c r="F336" s="97">
        <f>40*4</f>
        <v>160</v>
      </c>
      <c r="G336" s="16">
        <v>6.82</v>
      </c>
      <c r="H336" s="23">
        <f t="shared" si="9"/>
        <v>1091.2</v>
      </c>
    </row>
    <row r="337" spans="1:8" x14ac:dyDescent="0.2">
      <c r="A337" s="71"/>
      <c r="B337" s="13">
        <v>7</v>
      </c>
      <c r="C337" s="13">
        <v>606522</v>
      </c>
      <c r="D337" s="14" t="s">
        <v>19</v>
      </c>
      <c r="E337" s="15" t="s">
        <v>13</v>
      </c>
      <c r="F337" s="97">
        <f>30*2</f>
        <v>60</v>
      </c>
      <c r="G337" s="16">
        <v>62.65</v>
      </c>
      <c r="H337" s="23">
        <f t="shared" si="9"/>
        <v>3759</v>
      </c>
    </row>
    <row r="338" spans="1:8" x14ac:dyDescent="0.2">
      <c r="A338" s="71"/>
      <c r="B338" s="13">
        <v>8</v>
      </c>
      <c r="C338" s="13">
        <v>222996</v>
      </c>
      <c r="D338" s="14" t="s">
        <v>20</v>
      </c>
      <c r="E338" s="15" t="s">
        <v>13</v>
      </c>
      <c r="F338" s="97">
        <f>70*5</f>
        <v>350</v>
      </c>
      <c r="G338" s="16">
        <v>54.51</v>
      </c>
      <c r="H338" s="23">
        <f t="shared" si="9"/>
        <v>19078.5</v>
      </c>
    </row>
    <row r="339" spans="1:8" x14ac:dyDescent="0.2">
      <c r="A339" s="71"/>
      <c r="B339" s="13">
        <v>9</v>
      </c>
      <c r="C339" s="13">
        <v>462666</v>
      </c>
      <c r="D339" s="14" t="s">
        <v>21</v>
      </c>
      <c r="E339" s="15" t="s">
        <v>13</v>
      </c>
      <c r="F339" s="97">
        <f>69*5</f>
        <v>345</v>
      </c>
      <c r="G339" s="16">
        <v>51</v>
      </c>
      <c r="H339" s="23">
        <f t="shared" si="9"/>
        <v>17595</v>
      </c>
    </row>
    <row r="340" spans="1:8" x14ac:dyDescent="0.2">
      <c r="A340" s="71"/>
      <c r="B340" s="13">
        <v>10</v>
      </c>
      <c r="C340" s="13">
        <v>448953</v>
      </c>
      <c r="D340" s="14" t="s">
        <v>22</v>
      </c>
      <c r="E340" s="15" t="s">
        <v>13</v>
      </c>
      <c r="F340" s="97">
        <f>261*11</f>
        <v>2871</v>
      </c>
      <c r="G340" s="16">
        <v>52.2</v>
      </c>
      <c r="H340" s="23">
        <f t="shared" si="9"/>
        <v>149866.20000000001</v>
      </c>
    </row>
    <row r="341" spans="1:8" x14ac:dyDescent="0.2">
      <c r="A341" s="71"/>
      <c r="B341" s="13">
        <v>11</v>
      </c>
      <c r="C341" s="13">
        <v>617794</v>
      </c>
      <c r="D341" s="14" t="s">
        <v>23</v>
      </c>
      <c r="E341" s="15" t="s">
        <v>13</v>
      </c>
      <c r="F341" s="97">
        <v>194</v>
      </c>
      <c r="G341" s="16">
        <v>50.59</v>
      </c>
      <c r="H341" s="23">
        <f t="shared" si="9"/>
        <v>9814.4600000000009</v>
      </c>
    </row>
    <row r="342" spans="1:8" x14ac:dyDescent="0.2">
      <c r="A342" s="71"/>
      <c r="B342" s="13">
        <v>12</v>
      </c>
      <c r="C342" s="13">
        <v>446706</v>
      </c>
      <c r="D342" s="14" t="s">
        <v>24</v>
      </c>
      <c r="E342" s="15" t="s">
        <v>25</v>
      </c>
      <c r="F342" s="97">
        <f>352*3</f>
        <v>1056</v>
      </c>
      <c r="G342" s="16">
        <v>11.94</v>
      </c>
      <c r="H342" s="23">
        <f t="shared" si="9"/>
        <v>12608.64</v>
      </c>
    </row>
    <row r="343" spans="1:8" x14ac:dyDescent="0.2">
      <c r="A343" s="71"/>
      <c r="B343" s="13">
        <v>13</v>
      </c>
      <c r="C343" s="13">
        <v>446706</v>
      </c>
      <c r="D343" s="14" t="s">
        <v>26</v>
      </c>
      <c r="E343" s="15" t="s">
        <v>25</v>
      </c>
      <c r="F343" s="97">
        <f>352*4</f>
        <v>1408</v>
      </c>
      <c r="G343" s="16">
        <v>11.62</v>
      </c>
      <c r="H343" s="23">
        <f t="shared" si="9"/>
        <v>16360.96</v>
      </c>
    </row>
    <row r="344" spans="1:8" x14ac:dyDescent="0.2">
      <c r="A344" s="71"/>
      <c r="B344" s="13">
        <v>14</v>
      </c>
      <c r="C344" s="13">
        <v>445995</v>
      </c>
      <c r="D344" s="14" t="s">
        <v>27</v>
      </c>
      <c r="E344" s="15" t="s">
        <v>25</v>
      </c>
      <c r="F344" s="97">
        <f>62*8</f>
        <v>496</v>
      </c>
      <c r="G344" s="16">
        <v>4.3600000000000003</v>
      </c>
      <c r="H344" s="23">
        <f t="shared" si="9"/>
        <v>2162.56</v>
      </c>
    </row>
    <row r="345" spans="1:8" x14ac:dyDescent="0.2">
      <c r="A345" s="71"/>
      <c r="B345" s="13">
        <v>15</v>
      </c>
      <c r="C345" s="13">
        <v>282783</v>
      </c>
      <c r="D345" s="14" t="s">
        <v>28</v>
      </c>
      <c r="E345" s="15" t="s">
        <v>13</v>
      </c>
      <c r="F345" s="97">
        <v>62</v>
      </c>
      <c r="G345" s="16">
        <v>47.03</v>
      </c>
      <c r="H345" s="23">
        <f t="shared" si="9"/>
        <v>2915.86</v>
      </c>
    </row>
    <row r="346" spans="1:8" x14ac:dyDescent="0.2">
      <c r="A346" s="71"/>
      <c r="B346" s="13">
        <v>16</v>
      </c>
      <c r="C346" s="13">
        <v>464468</v>
      </c>
      <c r="D346" s="14" t="s">
        <v>29</v>
      </c>
      <c r="E346" s="15" t="s">
        <v>13</v>
      </c>
      <c r="F346" s="97">
        <f>644*5</f>
        <v>3220</v>
      </c>
      <c r="G346" s="16">
        <v>20.93</v>
      </c>
      <c r="H346" s="23">
        <f t="shared" si="9"/>
        <v>67394.600000000006</v>
      </c>
    </row>
    <row r="347" spans="1:8" x14ac:dyDescent="0.2">
      <c r="A347" s="71"/>
      <c r="B347" s="13">
        <v>17</v>
      </c>
      <c r="C347" s="13">
        <v>464484</v>
      </c>
      <c r="D347" s="14" t="s">
        <v>30</v>
      </c>
      <c r="E347" s="15" t="s">
        <v>13</v>
      </c>
      <c r="F347" s="97">
        <f>646*6</f>
        <v>3876</v>
      </c>
      <c r="G347" s="16">
        <v>20.309999999999999</v>
      </c>
      <c r="H347" s="23">
        <f t="shared" si="9"/>
        <v>78721.56</v>
      </c>
    </row>
    <row r="348" spans="1:8" x14ac:dyDescent="0.2">
      <c r="A348" s="71"/>
      <c r="B348" s="13">
        <v>18</v>
      </c>
      <c r="C348" s="13">
        <v>464514</v>
      </c>
      <c r="D348" s="14" t="s">
        <v>31</v>
      </c>
      <c r="E348" s="15" t="s">
        <v>13</v>
      </c>
      <c r="F348" s="97">
        <f>646*6</f>
        <v>3876</v>
      </c>
      <c r="G348" s="16">
        <v>18.43</v>
      </c>
      <c r="H348" s="23">
        <f t="shared" si="9"/>
        <v>71434.679999999993</v>
      </c>
    </row>
    <row r="349" spans="1:8" x14ac:dyDescent="0.2">
      <c r="A349" s="71"/>
      <c r="B349" s="13">
        <v>19</v>
      </c>
      <c r="C349" s="13">
        <v>464491</v>
      </c>
      <c r="D349" s="14" t="s">
        <v>32</v>
      </c>
      <c r="E349" s="15" t="s">
        <v>13</v>
      </c>
      <c r="F349" s="97">
        <f>214*4</f>
        <v>856</v>
      </c>
      <c r="G349" s="16">
        <v>25.88</v>
      </c>
      <c r="H349" s="23">
        <f t="shared" si="9"/>
        <v>22153.279999999999</v>
      </c>
    </row>
    <row r="350" spans="1:8" x14ac:dyDescent="0.2">
      <c r="A350" s="71"/>
      <c r="B350" s="13">
        <v>20</v>
      </c>
      <c r="C350" s="13">
        <v>282785</v>
      </c>
      <c r="D350" s="14" t="s">
        <v>33</v>
      </c>
      <c r="E350" s="15" t="s">
        <v>13</v>
      </c>
      <c r="F350" s="97">
        <f>646*5</f>
        <v>3230</v>
      </c>
      <c r="G350" s="16">
        <v>25.42</v>
      </c>
      <c r="H350" s="23">
        <f t="shared" si="9"/>
        <v>82106.600000000006</v>
      </c>
    </row>
    <row r="351" spans="1:8" x14ac:dyDescent="0.2">
      <c r="A351" s="71"/>
      <c r="B351" s="13">
        <v>21</v>
      </c>
      <c r="C351" s="13">
        <v>464474</v>
      </c>
      <c r="D351" s="14" t="s">
        <v>34</v>
      </c>
      <c r="E351" s="15" t="s">
        <v>13</v>
      </c>
      <c r="F351" s="97">
        <f>646*5</f>
        <v>3230</v>
      </c>
      <c r="G351" s="16">
        <v>30.62</v>
      </c>
      <c r="H351" s="23">
        <f t="shared" si="9"/>
        <v>98902.6</v>
      </c>
    </row>
    <row r="352" spans="1:8" x14ac:dyDescent="0.2">
      <c r="A352" s="71"/>
      <c r="B352" s="13">
        <v>22</v>
      </c>
      <c r="C352" s="13">
        <v>464475</v>
      </c>
      <c r="D352" s="14" t="s">
        <v>35</v>
      </c>
      <c r="E352" s="15" t="s">
        <v>13</v>
      </c>
      <c r="F352" s="97">
        <f>646*4</f>
        <v>2584</v>
      </c>
      <c r="G352" s="16">
        <v>18.7</v>
      </c>
      <c r="H352" s="23">
        <f t="shared" si="9"/>
        <v>48320.799999999996</v>
      </c>
    </row>
    <row r="353" spans="1:8" x14ac:dyDescent="0.2">
      <c r="A353" s="71"/>
      <c r="B353" s="13">
        <v>23</v>
      </c>
      <c r="C353" s="13">
        <v>464485</v>
      </c>
      <c r="D353" s="14" t="s">
        <v>36</v>
      </c>
      <c r="E353" s="15" t="s">
        <v>13</v>
      </c>
      <c r="F353" s="97">
        <f>426*3</f>
        <v>1278</v>
      </c>
      <c r="G353" s="16">
        <v>24</v>
      </c>
      <c r="H353" s="23">
        <f t="shared" si="9"/>
        <v>30672</v>
      </c>
    </row>
    <row r="354" spans="1:8" x14ac:dyDescent="0.2">
      <c r="A354" s="71"/>
      <c r="B354" s="13">
        <v>24</v>
      </c>
      <c r="C354" s="13">
        <v>282786</v>
      </c>
      <c r="D354" s="14" t="s">
        <v>37</v>
      </c>
      <c r="E354" s="15" t="s">
        <v>13</v>
      </c>
      <c r="F354" s="97">
        <v>214</v>
      </c>
      <c r="G354" s="16">
        <v>25.83</v>
      </c>
      <c r="H354" s="23">
        <f t="shared" si="9"/>
        <v>5527.62</v>
      </c>
    </row>
    <row r="355" spans="1:8" x14ac:dyDescent="0.2">
      <c r="A355" s="71"/>
      <c r="B355" s="13">
        <v>25</v>
      </c>
      <c r="C355" s="13">
        <v>464511</v>
      </c>
      <c r="D355" s="14" t="s">
        <v>38</v>
      </c>
      <c r="E355" s="15" t="s">
        <v>13</v>
      </c>
      <c r="F355" s="97">
        <f>212*2</f>
        <v>424</v>
      </c>
      <c r="G355" s="16">
        <v>17.399999999999999</v>
      </c>
      <c r="H355" s="23">
        <f t="shared" si="9"/>
        <v>7377.5999999999995</v>
      </c>
    </row>
    <row r="356" spans="1:8" x14ac:dyDescent="0.2">
      <c r="A356" s="71"/>
      <c r="B356" s="13">
        <v>26</v>
      </c>
      <c r="C356" s="13">
        <v>405351</v>
      </c>
      <c r="D356" s="14" t="s">
        <v>39</v>
      </c>
      <c r="E356" s="15" t="s">
        <v>13</v>
      </c>
      <c r="F356" s="97">
        <f>55*5</f>
        <v>275</v>
      </c>
      <c r="G356" s="16">
        <v>38</v>
      </c>
      <c r="H356" s="23">
        <f t="shared" si="9"/>
        <v>10450</v>
      </c>
    </row>
    <row r="357" spans="1:8" x14ac:dyDescent="0.2">
      <c r="A357" s="71"/>
      <c r="B357" s="13">
        <v>27</v>
      </c>
      <c r="C357" s="13">
        <v>446393</v>
      </c>
      <c r="D357" s="14" t="s">
        <v>40</v>
      </c>
      <c r="E357" s="15" t="s">
        <v>13</v>
      </c>
      <c r="F357" s="97">
        <f>21*6</f>
        <v>126</v>
      </c>
      <c r="G357" s="16">
        <v>49.85</v>
      </c>
      <c r="H357" s="23">
        <f t="shared" si="9"/>
        <v>6281.1</v>
      </c>
    </row>
    <row r="358" spans="1:8" x14ac:dyDescent="0.2">
      <c r="A358" s="71"/>
      <c r="B358" s="13">
        <v>28</v>
      </c>
      <c r="C358" s="13">
        <v>446633</v>
      </c>
      <c r="D358" s="14" t="s">
        <v>41</v>
      </c>
      <c r="E358" s="15" t="s">
        <v>13</v>
      </c>
      <c r="F358" s="97">
        <f>171*9</f>
        <v>1539</v>
      </c>
      <c r="G358" s="16">
        <v>46.79</v>
      </c>
      <c r="H358" s="23">
        <f t="shared" si="9"/>
        <v>72009.81</v>
      </c>
    </row>
    <row r="359" spans="1:8" x14ac:dyDescent="0.2">
      <c r="A359" s="71"/>
      <c r="B359" s="13">
        <v>29</v>
      </c>
      <c r="C359" s="13">
        <v>282788</v>
      </c>
      <c r="D359" s="14" t="s">
        <v>42</v>
      </c>
      <c r="E359" s="15" t="s">
        <v>13</v>
      </c>
      <c r="F359" s="97">
        <v>89</v>
      </c>
      <c r="G359" s="16">
        <v>37.25</v>
      </c>
      <c r="H359" s="23">
        <f t="shared" si="9"/>
        <v>3315.25</v>
      </c>
    </row>
    <row r="360" spans="1:8" x14ac:dyDescent="0.2">
      <c r="A360" s="71"/>
      <c r="B360" s="13">
        <v>30</v>
      </c>
      <c r="C360" s="13">
        <v>470690</v>
      </c>
      <c r="D360" s="14" t="s">
        <v>43</v>
      </c>
      <c r="E360" s="15" t="s">
        <v>13</v>
      </c>
      <c r="F360" s="97">
        <v>259</v>
      </c>
      <c r="G360" s="16">
        <v>29.93</v>
      </c>
      <c r="H360" s="23">
        <f t="shared" si="9"/>
        <v>7751.87</v>
      </c>
    </row>
    <row r="361" spans="1:8" x14ac:dyDescent="0.2">
      <c r="A361" s="71"/>
      <c r="B361" s="13">
        <v>31</v>
      </c>
      <c r="C361" s="13">
        <v>460397</v>
      </c>
      <c r="D361" s="14" t="s">
        <v>44</v>
      </c>
      <c r="E361" s="15" t="s">
        <v>13</v>
      </c>
      <c r="F361" s="97">
        <v>110</v>
      </c>
      <c r="G361" s="16">
        <v>20.7</v>
      </c>
      <c r="H361" s="23">
        <f t="shared" si="9"/>
        <v>2277</v>
      </c>
    </row>
    <row r="362" spans="1:8" ht="13.5" thickBot="1" x14ac:dyDescent="0.25">
      <c r="A362" s="71"/>
      <c r="B362" s="13">
        <v>32</v>
      </c>
      <c r="C362" s="13">
        <v>458919</v>
      </c>
      <c r="D362" s="14" t="s">
        <v>45</v>
      </c>
      <c r="E362" s="15" t="s">
        <v>13</v>
      </c>
      <c r="F362" s="97">
        <v>36</v>
      </c>
      <c r="G362" s="16">
        <v>5.27</v>
      </c>
      <c r="H362" s="23">
        <f>F362*G362</f>
        <v>189.71999999999997</v>
      </c>
    </row>
    <row r="363" spans="1:8" ht="13.5" thickBot="1" x14ac:dyDescent="0.25">
      <c r="A363" s="67" t="s">
        <v>46</v>
      </c>
      <c r="B363" s="68"/>
      <c r="C363" s="68"/>
      <c r="D363" s="68"/>
      <c r="E363" s="68"/>
      <c r="F363" s="68"/>
      <c r="G363" s="69"/>
      <c r="H363" s="20">
        <f>SUM(H331:H362)</f>
        <v>939824.30999999994</v>
      </c>
    </row>
    <row r="364" spans="1:8" x14ac:dyDescent="0.2">
      <c r="A364" s="3"/>
      <c r="B364" s="3"/>
      <c r="C364" s="3"/>
      <c r="D364" s="3"/>
      <c r="E364" s="3"/>
      <c r="F364" s="3"/>
      <c r="G364" s="4"/>
      <c r="H364" s="35"/>
    </row>
    <row r="365" spans="1:8" x14ac:dyDescent="0.2">
      <c r="A365" s="36" t="s">
        <v>65</v>
      </c>
      <c r="B365" s="37"/>
      <c r="C365" s="37"/>
      <c r="D365" s="37"/>
      <c r="E365" s="37"/>
      <c r="F365" s="37"/>
      <c r="G365" s="38"/>
      <c r="H365" s="39"/>
    </row>
    <row r="366" spans="1:8" ht="13.5" thickBot="1" x14ac:dyDescent="0.25"/>
    <row r="367" spans="1:8" ht="13.5" thickBot="1" x14ac:dyDescent="0.25">
      <c r="E367" s="67" t="s">
        <v>66</v>
      </c>
      <c r="F367" s="69"/>
      <c r="G367" s="40"/>
    </row>
    <row r="368" spans="1:8" ht="13.5" thickBot="1" x14ac:dyDescent="0.25">
      <c r="E368" s="2" t="s">
        <v>67</v>
      </c>
      <c r="F368" s="41" t="s">
        <v>10</v>
      </c>
      <c r="G368" s="4"/>
    </row>
    <row r="369" spans="5:6" x14ac:dyDescent="0.2">
      <c r="E369" s="42" t="s">
        <v>68</v>
      </c>
      <c r="F369" s="43">
        <f>H39</f>
        <v>19561921.269999996</v>
      </c>
    </row>
    <row r="370" spans="5:6" x14ac:dyDescent="0.2">
      <c r="E370" s="44" t="s">
        <v>69</v>
      </c>
      <c r="F370" s="45">
        <f>H75</f>
        <v>1971395.2</v>
      </c>
    </row>
    <row r="371" spans="5:6" x14ac:dyDescent="0.2">
      <c r="E371" s="44" t="s">
        <v>70</v>
      </c>
      <c r="F371" s="45">
        <f>H111</f>
        <v>3354534.0799999996</v>
      </c>
    </row>
    <row r="372" spans="5:6" x14ac:dyDescent="0.2">
      <c r="E372" s="44" t="s">
        <v>71</v>
      </c>
      <c r="F372" s="45">
        <f>H147</f>
        <v>2177306.7800000003</v>
      </c>
    </row>
    <row r="373" spans="5:6" x14ac:dyDescent="0.2">
      <c r="E373" s="44" t="s">
        <v>72</v>
      </c>
      <c r="F373" s="45">
        <f>H183</f>
        <v>4082490.0799999996</v>
      </c>
    </row>
    <row r="374" spans="5:6" x14ac:dyDescent="0.2">
      <c r="E374" s="44" t="s">
        <v>73</v>
      </c>
      <c r="F374" s="45">
        <f>H219</f>
        <v>3322647.6099999994</v>
      </c>
    </row>
    <row r="375" spans="5:6" x14ac:dyDescent="0.2">
      <c r="E375" s="44" t="s">
        <v>74</v>
      </c>
      <c r="F375" s="45">
        <f>H255</f>
        <v>2778570.71</v>
      </c>
    </row>
    <row r="376" spans="5:6" x14ac:dyDescent="0.2">
      <c r="E376" s="44" t="s">
        <v>75</v>
      </c>
      <c r="F376" s="45">
        <f>H291</f>
        <v>3007130.8300000005</v>
      </c>
    </row>
    <row r="377" spans="5:6" x14ac:dyDescent="0.2">
      <c r="E377" s="44" t="s">
        <v>76</v>
      </c>
      <c r="F377" s="45">
        <f>H327</f>
        <v>3412702.5600000005</v>
      </c>
    </row>
    <row r="378" spans="5:6" ht="13.5" thickBot="1" x14ac:dyDescent="0.25">
      <c r="E378" s="46" t="s">
        <v>77</v>
      </c>
      <c r="F378" s="47">
        <f>H363</f>
        <v>939824.30999999994</v>
      </c>
    </row>
    <row r="379" spans="5:6" ht="13.5" thickBot="1" x14ac:dyDescent="0.25">
      <c r="E379" s="41" t="s">
        <v>46</v>
      </c>
      <c r="F379" s="20">
        <f>SUM(F369:F378)</f>
        <v>44608523.43</v>
      </c>
    </row>
  </sheetData>
  <sheetProtection algorithmName="SHA-512" hashValue="4EChKDzLkAfVGnLLzXBowzpEUFdGZstP8O4fhJxsiFOogjZiGBlTvNWzLA+WAahVA7mY4Dk6nj5VElLQ/4rSYA==" saltValue="LPCuD4zEYkjTWvmsxuySxA==" spinCount="100000" sheet="1" objects="1" scenarios="1"/>
  <autoFilter ref="D1:D379" xr:uid="{282A6F6C-08B5-45EB-86F8-9B9CED80F803}"/>
  <mergeCells count="24">
    <mergeCell ref="A151:A182"/>
    <mergeCell ref="A1:H1"/>
    <mergeCell ref="A2:H2"/>
    <mergeCell ref="A3:H3"/>
    <mergeCell ref="A7:A38"/>
    <mergeCell ref="A39:G39"/>
    <mergeCell ref="A43:A74"/>
    <mergeCell ref="A75:G75"/>
    <mergeCell ref="A79:A110"/>
    <mergeCell ref="A111:G111"/>
    <mergeCell ref="A115:A146"/>
    <mergeCell ref="A147:G147"/>
    <mergeCell ref="E367:F367"/>
    <mergeCell ref="A183:G183"/>
    <mergeCell ref="A187:A218"/>
    <mergeCell ref="A219:G219"/>
    <mergeCell ref="A223:A254"/>
    <mergeCell ref="A255:G255"/>
    <mergeCell ref="A259:A290"/>
    <mergeCell ref="A291:G291"/>
    <mergeCell ref="A295:A326"/>
    <mergeCell ref="A327:G327"/>
    <mergeCell ref="A331:A362"/>
    <mergeCell ref="A363:G363"/>
  </mergeCells>
  <pageMargins left="0.511811024" right="0.511811024" top="0.78740157499999996" bottom="0.78740157499999996" header="0.31496062000000002" footer="0.31496062000000002"/>
  <pageSetup paperSize="9" scale="54" fitToHeight="0" orientation="portrait" r:id="rId1"/>
  <rowBreaks count="4" manualBreakCount="4">
    <brk id="75" max="6" man="1"/>
    <brk id="147" max="6" man="1"/>
    <brk id="219" max="6" man="1"/>
    <brk id="29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0B40-F7C8-4C44-AF75-758632504760}">
  <sheetPr>
    <pageSetUpPr fitToPage="1"/>
  </sheetPr>
  <dimension ref="A1:H459"/>
  <sheetViews>
    <sheetView zoomScaleNormal="100" zoomScaleSheetLayoutView="80" workbookViewId="0">
      <pane ySplit="3" topLeftCell="A4" activePane="bottomLeft" state="frozen"/>
      <selection activeCell="M351" sqref="M351"/>
      <selection pane="bottomLeft" activeCell="K15" sqref="K15"/>
    </sheetView>
  </sheetViews>
  <sheetFormatPr defaultRowHeight="12.75" x14ac:dyDescent="0.2"/>
  <cols>
    <col min="1" max="1" width="25.7109375" style="1" customWidth="1"/>
    <col min="2" max="2" width="6.28515625" style="1" customWidth="1"/>
    <col min="3" max="3" width="17.140625" style="1" bestFit="1" customWidth="1"/>
    <col min="4" max="4" width="20.5703125" style="1" customWidth="1"/>
    <col min="5" max="5" width="24.42578125" style="1" customWidth="1"/>
    <col min="6" max="6" width="26.5703125" style="1" bestFit="1" customWidth="1"/>
    <col min="7" max="7" width="18.7109375" style="21" customWidth="1"/>
    <col min="8" max="8" width="24.85546875" style="1" customWidth="1"/>
    <col min="9" max="16384" width="9.140625" style="1"/>
  </cols>
  <sheetData>
    <row r="1" spans="1:8" ht="13.5" thickBot="1" x14ac:dyDescent="0.25">
      <c r="A1" s="82" t="s">
        <v>120</v>
      </c>
      <c r="B1" s="83"/>
      <c r="C1" s="83"/>
      <c r="D1" s="83"/>
      <c r="E1" s="83"/>
      <c r="F1" s="83"/>
      <c r="G1" s="83"/>
      <c r="H1" s="84"/>
    </row>
    <row r="2" spans="1:8" ht="12.75" customHeight="1" thickBot="1" x14ac:dyDescent="0.25">
      <c r="A2" s="85" t="s">
        <v>0</v>
      </c>
      <c r="B2" s="86"/>
      <c r="C2" s="86"/>
      <c r="D2" s="86"/>
      <c r="E2" s="86"/>
      <c r="F2" s="86"/>
      <c r="G2" s="86"/>
      <c r="H2" s="87"/>
    </row>
    <row r="3" spans="1:8" ht="13.5" thickBot="1" x14ac:dyDescent="0.25">
      <c r="A3" s="67" t="s">
        <v>1</v>
      </c>
      <c r="B3" s="68"/>
      <c r="C3" s="68"/>
      <c r="D3" s="68"/>
      <c r="E3" s="68"/>
      <c r="F3" s="68"/>
      <c r="G3" s="68"/>
      <c r="H3" s="69"/>
    </row>
    <row r="4" spans="1:8" ht="13.5" thickBot="1" x14ac:dyDescent="0.25">
      <c r="A4" s="3"/>
      <c r="B4" s="3"/>
      <c r="C4" s="3"/>
      <c r="D4" s="3"/>
      <c r="E4" s="3"/>
      <c r="F4" s="3"/>
      <c r="G4" s="4"/>
      <c r="H4" s="3"/>
    </row>
    <row r="5" spans="1:8" ht="13.5" thickBot="1" x14ac:dyDescent="0.25">
      <c r="A5" s="5" t="s">
        <v>2</v>
      </c>
      <c r="B5" s="6"/>
      <c r="C5" s="6"/>
      <c r="D5" s="6"/>
      <c r="E5" s="6"/>
      <c r="F5" s="6"/>
      <c r="G5" s="7"/>
      <c r="H5" s="8"/>
    </row>
    <row r="6" spans="1:8" ht="13.5" thickBot="1" x14ac:dyDescent="0.25">
      <c r="A6" s="30" t="s">
        <v>3</v>
      </c>
      <c r="B6" s="48" t="s">
        <v>4</v>
      </c>
      <c r="C6" s="41" t="s">
        <v>78</v>
      </c>
      <c r="D6" s="49" t="s">
        <v>6</v>
      </c>
      <c r="E6" s="31" t="s">
        <v>7</v>
      </c>
      <c r="F6" s="31" t="s">
        <v>8</v>
      </c>
      <c r="G6" s="32" t="s">
        <v>9</v>
      </c>
      <c r="H6" s="33" t="s">
        <v>10</v>
      </c>
    </row>
    <row r="7" spans="1:8" x14ac:dyDescent="0.2">
      <c r="A7" s="88" t="s">
        <v>11</v>
      </c>
      <c r="B7" s="50">
        <v>1</v>
      </c>
      <c r="C7" s="51">
        <v>463746</v>
      </c>
      <c r="D7" s="52" t="s">
        <v>79</v>
      </c>
      <c r="E7" s="53" t="s">
        <v>13</v>
      </c>
      <c r="F7" s="94">
        <f>2276*8</f>
        <v>18208</v>
      </c>
      <c r="G7" s="54">
        <v>5.1100000000000003</v>
      </c>
      <c r="H7" s="55">
        <f>F7*G7</f>
        <v>93042.880000000005</v>
      </c>
    </row>
    <row r="8" spans="1:8" x14ac:dyDescent="0.2">
      <c r="A8" s="89"/>
      <c r="B8" s="50">
        <v>2</v>
      </c>
      <c r="C8" s="50">
        <v>467575</v>
      </c>
      <c r="D8" s="56" t="s">
        <v>80</v>
      </c>
      <c r="E8" s="15" t="s">
        <v>13</v>
      </c>
      <c r="F8" s="95">
        <f>776*2</f>
        <v>1552</v>
      </c>
      <c r="G8" s="16">
        <v>12</v>
      </c>
      <c r="H8" s="19">
        <f t="shared" ref="H8:H45" si="0">F8*G8</f>
        <v>18624</v>
      </c>
    </row>
    <row r="9" spans="1:8" x14ac:dyDescent="0.2">
      <c r="A9" s="89"/>
      <c r="B9" s="50">
        <v>3</v>
      </c>
      <c r="C9" s="50">
        <v>463831</v>
      </c>
      <c r="D9" s="57" t="s">
        <v>81</v>
      </c>
      <c r="E9" s="15" t="s">
        <v>13</v>
      </c>
      <c r="F9" s="95">
        <f>777*2</f>
        <v>1554</v>
      </c>
      <c r="G9" s="16">
        <v>10.99</v>
      </c>
      <c r="H9" s="19">
        <f t="shared" si="0"/>
        <v>17078.46</v>
      </c>
    </row>
    <row r="10" spans="1:8" x14ac:dyDescent="0.2">
      <c r="A10" s="89"/>
      <c r="B10" s="50">
        <v>4</v>
      </c>
      <c r="C10" s="50">
        <v>463818</v>
      </c>
      <c r="D10" s="57" t="s">
        <v>82</v>
      </c>
      <c r="E10" s="15" t="s">
        <v>13</v>
      </c>
      <c r="F10" s="95">
        <f>778*2</f>
        <v>1556</v>
      </c>
      <c r="G10" s="16">
        <v>5.65</v>
      </c>
      <c r="H10" s="19">
        <f t="shared" si="0"/>
        <v>8791.4000000000015</v>
      </c>
    </row>
    <row r="11" spans="1:8" x14ac:dyDescent="0.2">
      <c r="A11" s="89"/>
      <c r="B11" s="50">
        <v>5</v>
      </c>
      <c r="C11" s="50">
        <v>463824</v>
      </c>
      <c r="D11" s="57" t="s">
        <v>83</v>
      </c>
      <c r="E11" s="15" t="s">
        <v>13</v>
      </c>
      <c r="F11" s="95">
        <f>779*2</f>
        <v>1558</v>
      </c>
      <c r="G11" s="16">
        <v>8.98</v>
      </c>
      <c r="H11" s="19">
        <f>F11*G11</f>
        <v>13990.84</v>
      </c>
    </row>
    <row r="12" spans="1:8" x14ac:dyDescent="0.2">
      <c r="A12" s="89"/>
      <c r="B12" s="50">
        <v>6</v>
      </c>
      <c r="C12" s="50">
        <v>463749</v>
      </c>
      <c r="D12" s="57" t="s">
        <v>84</v>
      </c>
      <c r="E12" s="15" t="s">
        <v>13</v>
      </c>
      <c r="F12" s="95">
        <f>922*3</f>
        <v>2766</v>
      </c>
      <c r="G12" s="16">
        <v>4.96</v>
      </c>
      <c r="H12" s="19">
        <f t="shared" si="0"/>
        <v>13719.36</v>
      </c>
    </row>
    <row r="13" spans="1:8" x14ac:dyDescent="0.2">
      <c r="A13" s="89"/>
      <c r="B13" s="50">
        <v>7</v>
      </c>
      <c r="C13" s="50">
        <v>463795</v>
      </c>
      <c r="D13" s="57" t="s">
        <v>85</v>
      </c>
      <c r="E13" s="15" t="s">
        <v>13</v>
      </c>
      <c r="F13" s="95">
        <f>2689*6</f>
        <v>16134</v>
      </c>
      <c r="G13" s="16">
        <v>5.4</v>
      </c>
      <c r="H13" s="19">
        <f t="shared" si="0"/>
        <v>87123.6</v>
      </c>
    </row>
    <row r="14" spans="1:8" x14ac:dyDescent="0.2">
      <c r="A14" s="89"/>
      <c r="B14" s="50">
        <v>8</v>
      </c>
      <c r="C14" s="50">
        <v>463832</v>
      </c>
      <c r="D14" s="57" t="s">
        <v>86</v>
      </c>
      <c r="E14" s="15" t="s">
        <v>13</v>
      </c>
      <c r="F14" s="95">
        <f>484*7</f>
        <v>3388</v>
      </c>
      <c r="G14" s="16">
        <v>10.76</v>
      </c>
      <c r="H14" s="19">
        <f t="shared" si="0"/>
        <v>36454.879999999997</v>
      </c>
    </row>
    <row r="15" spans="1:8" x14ac:dyDescent="0.2">
      <c r="A15" s="89"/>
      <c r="B15" s="50">
        <v>9</v>
      </c>
      <c r="C15" s="50">
        <v>461695</v>
      </c>
      <c r="D15" s="57" t="s">
        <v>87</v>
      </c>
      <c r="E15" s="15" t="s">
        <v>13</v>
      </c>
      <c r="F15" s="95">
        <f>774*8</f>
        <v>6192</v>
      </c>
      <c r="G15" s="16">
        <v>24.09</v>
      </c>
      <c r="H15" s="19">
        <f t="shared" si="0"/>
        <v>149165.28</v>
      </c>
    </row>
    <row r="16" spans="1:8" x14ac:dyDescent="0.2">
      <c r="A16" s="89"/>
      <c r="B16" s="50">
        <v>10</v>
      </c>
      <c r="C16" s="50">
        <v>463930</v>
      </c>
      <c r="D16" s="57" t="s">
        <v>88</v>
      </c>
      <c r="E16" s="15" t="s">
        <v>13</v>
      </c>
      <c r="F16" s="95">
        <f>59*8</f>
        <v>472</v>
      </c>
      <c r="G16" s="16">
        <v>15.5</v>
      </c>
      <c r="H16" s="19">
        <f t="shared" si="0"/>
        <v>7316</v>
      </c>
    </row>
    <row r="17" spans="1:8" x14ac:dyDescent="0.2">
      <c r="A17" s="89"/>
      <c r="B17" s="50">
        <v>11</v>
      </c>
      <c r="C17" s="50">
        <v>463876</v>
      </c>
      <c r="D17" s="57" t="s">
        <v>89</v>
      </c>
      <c r="E17" s="15" t="s">
        <v>13</v>
      </c>
      <c r="F17" s="95">
        <f>177*7</f>
        <v>1239</v>
      </c>
      <c r="G17" s="16">
        <v>15.7</v>
      </c>
      <c r="H17" s="19">
        <f>F17*G17</f>
        <v>19452.3</v>
      </c>
    </row>
    <row r="18" spans="1:8" x14ac:dyDescent="0.2">
      <c r="A18" s="89"/>
      <c r="B18" s="50">
        <v>12</v>
      </c>
      <c r="C18" s="50">
        <v>282791</v>
      </c>
      <c r="D18" s="57" t="s">
        <v>90</v>
      </c>
      <c r="E18" s="15" t="s">
        <v>13</v>
      </c>
      <c r="F18" s="95">
        <f>169*8</f>
        <v>1352</v>
      </c>
      <c r="G18" s="16">
        <v>15.45</v>
      </c>
      <c r="H18" s="19">
        <f t="shared" si="0"/>
        <v>20888.399999999998</v>
      </c>
    </row>
    <row r="19" spans="1:8" x14ac:dyDescent="0.2">
      <c r="A19" s="89"/>
      <c r="B19" s="50">
        <v>13</v>
      </c>
      <c r="C19" s="50">
        <v>463822</v>
      </c>
      <c r="D19" s="57" t="s">
        <v>91</v>
      </c>
      <c r="E19" s="15" t="s">
        <v>13</v>
      </c>
      <c r="F19" s="95">
        <f>1034*4</f>
        <v>4136</v>
      </c>
      <c r="G19" s="16">
        <v>12</v>
      </c>
      <c r="H19" s="19">
        <f t="shared" si="0"/>
        <v>49632</v>
      </c>
    </row>
    <row r="20" spans="1:8" x14ac:dyDescent="0.2">
      <c r="A20" s="89"/>
      <c r="B20" s="50">
        <v>14</v>
      </c>
      <c r="C20" s="50">
        <v>464377</v>
      </c>
      <c r="D20" s="57" t="s">
        <v>92</v>
      </c>
      <c r="E20" s="15" t="s">
        <v>13</v>
      </c>
      <c r="F20" s="95">
        <f>1155*7</f>
        <v>8085</v>
      </c>
      <c r="G20" s="16">
        <v>7.93</v>
      </c>
      <c r="H20" s="19">
        <f t="shared" si="0"/>
        <v>64114.049999999996</v>
      </c>
    </row>
    <row r="21" spans="1:8" x14ac:dyDescent="0.2">
      <c r="A21" s="89"/>
      <c r="B21" s="50">
        <v>15</v>
      </c>
      <c r="C21" s="50">
        <v>464381</v>
      </c>
      <c r="D21" s="57" t="s">
        <v>93</v>
      </c>
      <c r="E21" s="15" t="s">
        <v>13</v>
      </c>
      <c r="F21" s="95">
        <f>17273*12</f>
        <v>207276</v>
      </c>
      <c r="G21" s="16">
        <v>6.17</v>
      </c>
      <c r="H21" s="19">
        <f>F21*G21</f>
        <v>1278892.92</v>
      </c>
    </row>
    <row r="22" spans="1:8" x14ac:dyDescent="0.2">
      <c r="A22" s="89"/>
      <c r="B22" s="50">
        <v>16</v>
      </c>
      <c r="C22" s="50">
        <v>463753</v>
      </c>
      <c r="D22" s="57" t="s">
        <v>94</v>
      </c>
      <c r="E22" s="15" t="s">
        <v>13</v>
      </c>
      <c r="F22" s="95">
        <f>1343*2</f>
        <v>2686</v>
      </c>
      <c r="G22" s="16">
        <v>5.67</v>
      </c>
      <c r="H22" s="19">
        <f t="shared" si="0"/>
        <v>15229.619999999999</v>
      </c>
    </row>
    <row r="23" spans="1:8" x14ac:dyDescent="0.2">
      <c r="A23" s="89"/>
      <c r="B23" s="50">
        <v>17</v>
      </c>
      <c r="C23" s="58">
        <v>463754</v>
      </c>
      <c r="D23" s="18" t="s">
        <v>95</v>
      </c>
      <c r="E23" s="15" t="s">
        <v>13</v>
      </c>
      <c r="F23" s="95">
        <f>4756*10</f>
        <v>47560</v>
      </c>
      <c r="G23" s="16">
        <v>5.79</v>
      </c>
      <c r="H23" s="19">
        <f t="shared" si="0"/>
        <v>275372.40000000002</v>
      </c>
    </row>
    <row r="24" spans="1:8" x14ac:dyDescent="0.2">
      <c r="A24" s="89"/>
      <c r="B24" s="50">
        <v>18</v>
      </c>
      <c r="C24" s="58">
        <v>463767</v>
      </c>
      <c r="D24" s="18" t="s">
        <v>96</v>
      </c>
      <c r="E24" s="15" t="s">
        <v>13</v>
      </c>
      <c r="F24" s="95">
        <f>775*3</f>
        <v>2325</v>
      </c>
      <c r="G24" s="16">
        <v>6.02</v>
      </c>
      <c r="H24" s="19">
        <f t="shared" si="0"/>
        <v>13996.499999999998</v>
      </c>
    </row>
    <row r="25" spans="1:8" x14ac:dyDescent="0.2">
      <c r="A25" s="89"/>
      <c r="B25" s="50">
        <v>19</v>
      </c>
      <c r="C25" s="58">
        <v>463781</v>
      </c>
      <c r="D25" s="18" t="s">
        <v>97</v>
      </c>
      <c r="E25" s="15" t="s">
        <v>13</v>
      </c>
      <c r="F25" s="95">
        <f>606*10</f>
        <v>6060</v>
      </c>
      <c r="G25" s="16">
        <v>4.99</v>
      </c>
      <c r="H25" s="19">
        <f t="shared" si="0"/>
        <v>30239.4</v>
      </c>
    </row>
    <row r="26" spans="1:8" x14ac:dyDescent="0.2">
      <c r="A26" s="89"/>
      <c r="B26" s="50">
        <v>20</v>
      </c>
      <c r="C26" s="58">
        <v>463770</v>
      </c>
      <c r="D26" s="18" t="s">
        <v>98</v>
      </c>
      <c r="E26" s="15" t="s">
        <v>13</v>
      </c>
      <c r="F26" s="95">
        <f>2761*11</f>
        <v>30371</v>
      </c>
      <c r="G26" s="16">
        <v>5.74</v>
      </c>
      <c r="H26" s="19">
        <f t="shared" si="0"/>
        <v>174329.54</v>
      </c>
    </row>
    <row r="27" spans="1:8" x14ac:dyDescent="0.2">
      <c r="A27" s="89"/>
      <c r="B27" s="50">
        <v>21</v>
      </c>
      <c r="C27" s="58">
        <v>463778</v>
      </c>
      <c r="D27" s="18" t="s">
        <v>99</v>
      </c>
      <c r="E27" s="15" t="s">
        <v>13</v>
      </c>
      <c r="F27" s="95">
        <f>587*4</f>
        <v>2348</v>
      </c>
      <c r="G27" s="16">
        <v>3.98</v>
      </c>
      <c r="H27" s="19">
        <f t="shared" si="0"/>
        <v>9345.0399999999991</v>
      </c>
    </row>
    <row r="28" spans="1:8" x14ac:dyDescent="0.2">
      <c r="A28" s="89"/>
      <c r="B28" s="50">
        <v>22</v>
      </c>
      <c r="C28" s="58">
        <v>463789</v>
      </c>
      <c r="D28" s="18" t="s">
        <v>100</v>
      </c>
      <c r="E28" s="15" t="s">
        <v>13</v>
      </c>
      <c r="F28" s="95">
        <f>2114*4</f>
        <v>8456</v>
      </c>
      <c r="G28" s="16">
        <v>7.65</v>
      </c>
      <c r="H28" s="19">
        <f t="shared" si="0"/>
        <v>64688.4</v>
      </c>
    </row>
    <row r="29" spans="1:8" x14ac:dyDescent="0.2">
      <c r="A29" s="89"/>
      <c r="B29" s="50">
        <v>23</v>
      </c>
      <c r="C29" s="58">
        <v>464393</v>
      </c>
      <c r="D29" s="18" t="s">
        <v>101</v>
      </c>
      <c r="E29" s="15" t="s">
        <v>13</v>
      </c>
      <c r="F29" s="95">
        <f>6156*8</f>
        <v>49248</v>
      </c>
      <c r="G29" s="16">
        <v>5.74</v>
      </c>
      <c r="H29" s="19">
        <f t="shared" si="0"/>
        <v>282683.52000000002</v>
      </c>
    </row>
    <row r="30" spans="1:8" x14ac:dyDescent="0.2">
      <c r="A30" s="89"/>
      <c r="B30" s="50">
        <v>24</v>
      </c>
      <c r="C30" s="58">
        <v>464400</v>
      </c>
      <c r="D30" s="18" t="s">
        <v>102</v>
      </c>
      <c r="E30" s="15" t="s">
        <v>13</v>
      </c>
      <c r="F30" s="95">
        <f>9216*6</f>
        <v>55296</v>
      </c>
      <c r="G30" s="16">
        <v>9.65</v>
      </c>
      <c r="H30" s="19">
        <f t="shared" si="0"/>
        <v>533606.40000000002</v>
      </c>
    </row>
    <row r="31" spans="1:8" x14ac:dyDescent="0.2">
      <c r="A31" s="89"/>
      <c r="B31" s="50">
        <v>25</v>
      </c>
      <c r="C31" s="58">
        <v>464436</v>
      </c>
      <c r="D31" s="18" t="s">
        <v>103</v>
      </c>
      <c r="E31" s="15" t="s">
        <v>13</v>
      </c>
      <c r="F31" s="95">
        <f>4837*4</f>
        <v>19348</v>
      </c>
      <c r="G31" s="16">
        <v>5.9</v>
      </c>
      <c r="H31" s="19">
        <f t="shared" si="0"/>
        <v>114153.20000000001</v>
      </c>
    </row>
    <row r="32" spans="1:8" x14ac:dyDescent="0.2">
      <c r="A32" s="89"/>
      <c r="B32" s="50">
        <v>26</v>
      </c>
      <c r="C32" s="58">
        <v>234350</v>
      </c>
      <c r="D32" s="18" t="s">
        <v>104</v>
      </c>
      <c r="E32" s="15" t="s">
        <v>105</v>
      </c>
      <c r="F32" s="95">
        <f>4173*10</f>
        <v>41730</v>
      </c>
      <c r="G32" s="16">
        <v>23.1</v>
      </c>
      <c r="H32" s="19">
        <f t="shared" si="0"/>
        <v>963963.00000000012</v>
      </c>
    </row>
    <row r="33" spans="1:8" x14ac:dyDescent="0.2">
      <c r="A33" s="89"/>
      <c r="B33" s="50">
        <v>27</v>
      </c>
      <c r="C33" s="58">
        <v>463839</v>
      </c>
      <c r="D33" s="18" t="s">
        <v>106</v>
      </c>
      <c r="E33" s="15" t="s">
        <v>13</v>
      </c>
      <c r="F33" s="95">
        <f>1532*5</f>
        <v>7660</v>
      </c>
      <c r="G33" s="16">
        <v>4.3</v>
      </c>
      <c r="H33" s="19">
        <f t="shared" si="0"/>
        <v>32938</v>
      </c>
    </row>
    <row r="34" spans="1:8" x14ac:dyDescent="0.2">
      <c r="A34" s="89"/>
      <c r="B34" s="50">
        <v>28</v>
      </c>
      <c r="C34" s="58">
        <v>463829</v>
      </c>
      <c r="D34" s="18" t="s">
        <v>107</v>
      </c>
      <c r="E34" s="15" t="s">
        <v>13</v>
      </c>
      <c r="F34" s="95">
        <f>1155*3</f>
        <v>3465</v>
      </c>
      <c r="G34" s="16">
        <v>4.9800000000000004</v>
      </c>
      <c r="H34" s="19">
        <f t="shared" si="0"/>
        <v>17255.7</v>
      </c>
    </row>
    <row r="35" spans="1:8" x14ac:dyDescent="0.2">
      <c r="A35" s="89"/>
      <c r="B35" s="50">
        <v>29</v>
      </c>
      <c r="C35" s="58">
        <v>463804</v>
      </c>
      <c r="D35" s="18" t="s">
        <v>108</v>
      </c>
      <c r="E35" s="15" t="s">
        <v>13</v>
      </c>
      <c r="F35" s="95">
        <f>10257*10</f>
        <v>102570</v>
      </c>
      <c r="G35" s="16">
        <v>8.66</v>
      </c>
      <c r="H35" s="19">
        <f t="shared" si="0"/>
        <v>888256.20000000007</v>
      </c>
    </row>
    <row r="36" spans="1:8" x14ac:dyDescent="0.2">
      <c r="A36" s="89"/>
      <c r="B36" s="50">
        <v>30</v>
      </c>
      <c r="C36" s="58">
        <v>463809</v>
      </c>
      <c r="D36" s="18" t="s">
        <v>109</v>
      </c>
      <c r="E36" s="15" t="s">
        <v>13</v>
      </c>
      <c r="F36" s="95">
        <f>164*4</f>
        <v>656</v>
      </c>
      <c r="G36" s="16">
        <v>7.1</v>
      </c>
      <c r="H36" s="19">
        <f t="shared" si="0"/>
        <v>4657.5999999999995</v>
      </c>
    </row>
    <row r="37" spans="1:8" x14ac:dyDescent="0.2">
      <c r="A37" s="89"/>
      <c r="B37" s="50">
        <v>31</v>
      </c>
      <c r="C37" s="58">
        <v>463796</v>
      </c>
      <c r="D37" s="18" t="s">
        <v>110</v>
      </c>
      <c r="E37" s="15" t="s">
        <v>13</v>
      </c>
      <c r="F37" s="95">
        <f>1156*6</f>
        <v>6936</v>
      </c>
      <c r="G37" s="16">
        <v>5.17</v>
      </c>
      <c r="H37" s="19">
        <f t="shared" si="0"/>
        <v>35859.120000000003</v>
      </c>
    </row>
    <row r="38" spans="1:8" x14ac:dyDescent="0.2">
      <c r="A38" s="89"/>
      <c r="B38" s="50">
        <v>32</v>
      </c>
      <c r="C38" s="58">
        <v>463807</v>
      </c>
      <c r="D38" s="18" t="s">
        <v>111</v>
      </c>
      <c r="E38" s="15" t="s">
        <v>13</v>
      </c>
      <c r="F38" s="95">
        <f>774*2</f>
        <v>1548</v>
      </c>
      <c r="G38" s="16">
        <v>11.89</v>
      </c>
      <c r="H38" s="19">
        <f t="shared" si="0"/>
        <v>18405.72</v>
      </c>
    </row>
    <row r="39" spans="1:8" x14ac:dyDescent="0.2">
      <c r="A39" s="89"/>
      <c r="B39" s="50">
        <v>33</v>
      </c>
      <c r="C39" s="58">
        <v>464418</v>
      </c>
      <c r="D39" s="18" t="s">
        <v>112</v>
      </c>
      <c r="E39" s="15" t="s">
        <v>13</v>
      </c>
      <c r="F39" s="95">
        <f>6157*6</f>
        <v>36942</v>
      </c>
      <c r="G39" s="16">
        <v>4.66</v>
      </c>
      <c r="H39" s="19">
        <f t="shared" si="0"/>
        <v>172149.72</v>
      </c>
    </row>
    <row r="40" spans="1:8" x14ac:dyDescent="0.2">
      <c r="A40" s="89"/>
      <c r="B40" s="50">
        <v>34</v>
      </c>
      <c r="C40" s="58">
        <v>464370</v>
      </c>
      <c r="D40" s="18" t="s">
        <v>113</v>
      </c>
      <c r="E40" s="15" t="s">
        <v>13</v>
      </c>
      <c r="F40" s="95">
        <f>5383*3</f>
        <v>16149</v>
      </c>
      <c r="G40" s="16">
        <v>6.87</v>
      </c>
      <c r="H40" s="19">
        <f t="shared" si="0"/>
        <v>110943.63</v>
      </c>
    </row>
    <row r="41" spans="1:8" x14ac:dyDescent="0.2">
      <c r="A41" s="89"/>
      <c r="B41" s="50">
        <v>35</v>
      </c>
      <c r="C41" s="58">
        <v>464404</v>
      </c>
      <c r="D41" s="18" t="s">
        <v>114</v>
      </c>
      <c r="E41" s="15" t="s">
        <v>13</v>
      </c>
      <c r="F41" s="95">
        <f>6157*6</f>
        <v>36942</v>
      </c>
      <c r="G41" s="16">
        <v>6.87</v>
      </c>
      <c r="H41" s="19">
        <f t="shared" si="0"/>
        <v>253791.54</v>
      </c>
    </row>
    <row r="42" spans="1:8" x14ac:dyDescent="0.2">
      <c r="A42" s="89"/>
      <c r="B42" s="50">
        <v>36</v>
      </c>
      <c r="C42" s="58">
        <v>464392</v>
      </c>
      <c r="D42" s="18" t="s">
        <v>115</v>
      </c>
      <c r="E42" s="15" t="s">
        <v>13</v>
      </c>
      <c r="F42" s="95">
        <f>6157*6</f>
        <v>36942</v>
      </c>
      <c r="G42" s="16">
        <v>7.73</v>
      </c>
      <c r="H42" s="19">
        <f t="shared" si="0"/>
        <v>285561.66000000003</v>
      </c>
    </row>
    <row r="43" spans="1:8" x14ac:dyDescent="0.2">
      <c r="A43" s="89"/>
      <c r="B43" s="50">
        <v>37</v>
      </c>
      <c r="C43" s="58">
        <v>464374</v>
      </c>
      <c r="D43" s="18" t="s">
        <v>116</v>
      </c>
      <c r="E43" s="15" t="s">
        <v>13</v>
      </c>
      <c r="F43" s="95">
        <f>3638*6</f>
        <v>21828</v>
      </c>
      <c r="G43" s="16">
        <v>7.93</v>
      </c>
      <c r="H43" s="19">
        <f>F43*G43</f>
        <v>173096.04</v>
      </c>
    </row>
    <row r="44" spans="1:8" x14ac:dyDescent="0.2">
      <c r="A44" s="89"/>
      <c r="B44" s="50">
        <v>38</v>
      </c>
      <c r="C44" s="58">
        <v>463797</v>
      </c>
      <c r="D44" s="18" t="s">
        <v>117</v>
      </c>
      <c r="E44" s="15" t="s">
        <v>13</v>
      </c>
      <c r="F44" s="95">
        <f>11522*2</f>
        <v>23044</v>
      </c>
      <c r="G44" s="16">
        <v>8.23</v>
      </c>
      <c r="H44" s="19">
        <f>F44*G44</f>
        <v>189652.12</v>
      </c>
    </row>
    <row r="45" spans="1:8" x14ac:dyDescent="0.2">
      <c r="A45" s="89"/>
      <c r="B45" s="50">
        <v>39</v>
      </c>
      <c r="C45" s="58">
        <v>464398</v>
      </c>
      <c r="D45" s="18" t="s">
        <v>118</v>
      </c>
      <c r="E45" s="15" t="s">
        <v>13</v>
      </c>
      <c r="F45" s="95">
        <f>395*6</f>
        <v>2370</v>
      </c>
      <c r="G45" s="16">
        <v>6.9</v>
      </c>
      <c r="H45" s="19">
        <f t="shared" si="0"/>
        <v>16353</v>
      </c>
    </row>
    <row r="46" spans="1:8" ht="13.5" thickBot="1" x14ac:dyDescent="0.25">
      <c r="A46" s="90"/>
      <c r="B46" s="50">
        <v>40</v>
      </c>
      <c r="C46" s="58">
        <v>463898</v>
      </c>
      <c r="D46" s="59" t="s">
        <v>119</v>
      </c>
      <c r="E46" s="60" t="s">
        <v>13</v>
      </c>
      <c r="F46" s="95">
        <f>239*4</f>
        <v>956</v>
      </c>
      <c r="G46" s="61">
        <v>11.63</v>
      </c>
      <c r="H46" s="62">
        <f>F46*G46</f>
        <v>11118.28</v>
      </c>
    </row>
    <row r="47" spans="1:8" ht="13.5" thickBot="1" x14ac:dyDescent="0.25">
      <c r="A47" s="91" t="s">
        <v>46</v>
      </c>
      <c r="B47" s="92"/>
      <c r="C47" s="92"/>
      <c r="D47" s="92"/>
      <c r="E47" s="92"/>
      <c r="F47" s="92"/>
      <c r="G47" s="93"/>
      <c r="H47" s="63">
        <f>SUM(H7:H46)</f>
        <v>6565931.7200000007</v>
      </c>
    </row>
    <row r="48" spans="1:8" ht="13.5" thickBot="1" x14ac:dyDescent="0.25"/>
    <row r="49" spans="1:8" ht="13.5" thickBot="1" x14ac:dyDescent="0.25">
      <c r="A49" s="5" t="s">
        <v>47</v>
      </c>
      <c r="B49" s="6"/>
      <c r="C49" s="6"/>
      <c r="D49" s="6"/>
      <c r="E49" s="6"/>
      <c r="F49" s="6"/>
      <c r="G49" s="7"/>
      <c r="H49" s="8"/>
    </row>
    <row r="50" spans="1:8" ht="13.5" thickBot="1" x14ac:dyDescent="0.25">
      <c r="A50" s="9" t="s">
        <v>3</v>
      </c>
      <c r="B50" s="10" t="s">
        <v>4</v>
      </c>
      <c r="C50" s="41" t="s">
        <v>78</v>
      </c>
      <c r="D50" s="10" t="s">
        <v>6</v>
      </c>
      <c r="E50" s="10" t="s">
        <v>7</v>
      </c>
      <c r="F50" s="10" t="s">
        <v>8</v>
      </c>
      <c r="G50" s="11" t="s">
        <v>9</v>
      </c>
      <c r="H50" s="12" t="s">
        <v>10</v>
      </c>
    </row>
    <row r="51" spans="1:8" x14ac:dyDescent="0.2">
      <c r="A51" s="70" t="s">
        <v>48</v>
      </c>
      <c r="B51" s="13">
        <v>1</v>
      </c>
      <c r="C51" s="51">
        <v>463746</v>
      </c>
      <c r="D51" s="56" t="s">
        <v>79</v>
      </c>
      <c r="E51" s="15" t="s">
        <v>13</v>
      </c>
      <c r="F51" s="96">
        <v>1912</v>
      </c>
      <c r="G51" s="16">
        <v>5.22</v>
      </c>
      <c r="H51" s="45">
        <f>F51*G51</f>
        <v>9980.64</v>
      </c>
    </row>
    <row r="52" spans="1:8" x14ac:dyDescent="0.2">
      <c r="A52" s="71"/>
      <c r="B52" s="13">
        <v>2</v>
      </c>
      <c r="C52" s="50">
        <v>467575</v>
      </c>
      <c r="D52" s="56" t="s">
        <v>80</v>
      </c>
      <c r="E52" s="15" t="s">
        <v>13</v>
      </c>
      <c r="F52" s="97">
        <v>166</v>
      </c>
      <c r="G52" s="16">
        <v>9.99</v>
      </c>
      <c r="H52" s="45">
        <f t="shared" ref="H52:H90" si="1">F52*G52</f>
        <v>1658.3400000000001</v>
      </c>
    </row>
    <row r="53" spans="1:8" x14ac:dyDescent="0.2">
      <c r="A53" s="71"/>
      <c r="B53" s="13">
        <v>3</v>
      </c>
      <c r="C53" s="50">
        <v>463831</v>
      </c>
      <c r="D53" s="57" t="s">
        <v>81</v>
      </c>
      <c r="E53" s="15" t="s">
        <v>13</v>
      </c>
      <c r="F53" s="97">
        <v>166</v>
      </c>
      <c r="G53" s="16">
        <v>9.5</v>
      </c>
      <c r="H53" s="45">
        <f t="shared" si="1"/>
        <v>1577</v>
      </c>
    </row>
    <row r="54" spans="1:8" x14ac:dyDescent="0.2">
      <c r="A54" s="71"/>
      <c r="B54" s="13">
        <v>4</v>
      </c>
      <c r="C54" s="50">
        <v>463818</v>
      </c>
      <c r="D54" s="57" t="s">
        <v>82</v>
      </c>
      <c r="E54" s="15" t="s">
        <v>13</v>
      </c>
      <c r="F54" s="97">
        <v>164</v>
      </c>
      <c r="G54" s="16">
        <v>5.36</v>
      </c>
      <c r="H54" s="45">
        <f t="shared" si="1"/>
        <v>879.04000000000008</v>
      </c>
    </row>
    <row r="55" spans="1:8" x14ac:dyDescent="0.2">
      <c r="A55" s="71"/>
      <c r="B55" s="13">
        <v>5</v>
      </c>
      <c r="C55" s="50">
        <v>463824</v>
      </c>
      <c r="D55" s="57" t="s">
        <v>83</v>
      </c>
      <c r="E55" s="15" t="s">
        <v>13</v>
      </c>
      <c r="F55" s="97">
        <v>166</v>
      </c>
      <c r="G55" s="16">
        <v>12</v>
      </c>
      <c r="H55" s="45">
        <f t="shared" si="1"/>
        <v>1992</v>
      </c>
    </row>
    <row r="56" spans="1:8" x14ac:dyDescent="0.2">
      <c r="A56" s="71"/>
      <c r="B56" s="13">
        <v>6</v>
      </c>
      <c r="C56" s="50">
        <v>463749</v>
      </c>
      <c r="D56" s="57" t="s">
        <v>84</v>
      </c>
      <c r="E56" s="15" t="s">
        <v>13</v>
      </c>
      <c r="F56" s="97">
        <v>291</v>
      </c>
      <c r="G56" s="16">
        <v>4.91</v>
      </c>
      <c r="H56" s="45">
        <f t="shared" si="1"/>
        <v>1428.81</v>
      </c>
    </row>
    <row r="57" spans="1:8" x14ac:dyDescent="0.2">
      <c r="A57" s="71"/>
      <c r="B57" s="13">
        <v>7</v>
      </c>
      <c r="C57" s="50">
        <v>463795</v>
      </c>
      <c r="D57" s="57" t="s">
        <v>85</v>
      </c>
      <c r="E57" s="15" t="s">
        <v>13</v>
      </c>
      <c r="F57" s="97">
        <v>1686</v>
      </c>
      <c r="G57" s="16">
        <v>5.17</v>
      </c>
      <c r="H57" s="45">
        <f t="shared" si="1"/>
        <v>8716.619999999999</v>
      </c>
    </row>
    <row r="58" spans="1:8" x14ac:dyDescent="0.2">
      <c r="A58" s="71"/>
      <c r="B58" s="13">
        <v>8</v>
      </c>
      <c r="C58" s="50">
        <v>463832</v>
      </c>
      <c r="D58" s="57" t="s">
        <v>86</v>
      </c>
      <c r="E58" s="15" t="s">
        <v>13</v>
      </c>
      <c r="F58" s="97">
        <v>350</v>
      </c>
      <c r="G58" s="16">
        <v>10.72</v>
      </c>
      <c r="H58" s="45">
        <f t="shared" si="1"/>
        <v>3752</v>
      </c>
    </row>
    <row r="59" spans="1:8" x14ac:dyDescent="0.2">
      <c r="A59" s="71"/>
      <c r="B59" s="13">
        <v>9</v>
      </c>
      <c r="C59" s="50">
        <v>461695</v>
      </c>
      <c r="D59" s="57" t="s">
        <v>87</v>
      </c>
      <c r="E59" s="15" t="s">
        <v>13</v>
      </c>
      <c r="F59" s="97">
        <v>656</v>
      </c>
      <c r="G59" s="16">
        <v>25.33</v>
      </c>
      <c r="H59" s="45">
        <f t="shared" si="1"/>
        <v>16616.48</v>
      </c>
    </row>
    <row r="60" spans="1:8" x14ac:dyDescent="0.2">
      <c r="A60" s="71"/>
      <c r="B60" s="13">
        <v>10</v>
      </c>
      <c r="C60" s="50">
        <v>463930</v>
      </c>
      <c r="D60" s="57" t="s">
        <v>88</v>
      </c>
      <c r="E60" s="15" t="s">
        <v>13</v>
      </c>
      <c r="F60" s="97">
        <v>104</v>
      </c>
      <c r="G60" s="16">
        <v>15</v>
      </c>
      <c r="H60" s="45">
        <f t="shared" si="1"/>
        <v>1560</v>
      </c>
    </row>
    <row r="61" spans="1:8" x14ac:dyDescent="0.2">
      <c r="A61" s="71"/>
      <c r="B61" s="13">
        <v>11</v>
      </c>
      <c r="C61" s="50">
        <v>463876</v>
      </c>
      <c r="D61" s="57" t="s">
        <v>89</v>
      </c>
      <c r="E61" s="15" t="s">
        <v>13</v>
      </c>
      <c r="F61" s="97">
        <v>154</v>
      </c>
      <c r="G61" s="16">
        <v>15</v>
      </c>
      <c r="H61" s="45">
        <f t="shared" si="1"/>
        <v>2310</v>
      </c>
    </row>
    <row r="62" spans="1:8" x14ac:dyDescent="0.2">
      <c r="A62" s="71"/>
      <c r="B62" s="13">
        <v>12</v>
      </c>
      <c r="C62" s="50">
        <v>282791</v>
      </c>
      <c r="D62" s="57" t="s">
        <v>90</v>
      </c>
      <c r="E62" s="15" t="s">
        <v>13</v>
      </c>
      <c r="F62" s="97">
        <v>128</v>
      </c>
      <c r="G62" s="16">
        <v>15</v>
      </c>
      <c r="H62" s="45">
        <f t="shared" si="1"/>
        <v>1920</v>
      </c>
    </row>
    <row r="63" spans="1:8" x14ac:dyDescent="0.2">
      <c r="A63" s="71"/>
      <c r="B63" s="13">
        <v>13</v>
      </c>
      <c r="C63" s="50">
        <v>463822</v>
      </c>
      <c r="D63" s="57" t="s">
        <v>91</v>
      </c>
      <c r="E63" s="15" t="s">
        <v>13</v>
      </c>
      <c r="F63" s="97">
        <v>408</v>
      </c>
      <c r="G63" s="16">
        <v>11.96</v>
      </c>
      <c r="H63" s="45">
        <f t="shared" si="1"/>
        <v>4879.68</v>
      </c>
    </row>
    <row r="64" spans="1:8" x14ac:dyDescent="0.2">
      <c r="A64" s="71"/>
      <c r="B64" s="13">
        <v>14</v>
      </c>
      <c r="C64" s="50">
        <v>464377</v>
      </c>
      <c r="D64" s="57" t="s">
        <v>92</v>
      </c>
      <c r="E64" s="15" t="s">
        <v>13</v>
      </c>
      <c r="F64" s="97">
        <v>840</v>
      </c>
      <c r="G64" s="16">
        <v>7.95</v>
      </c>
      <c r="H64" s="45">
        <f t="shared" si="1"/>
        <v>6678</v>
      </c>
    </row>
    <row r="65" spans="1:8" x14ac:dyDescent="0.2">
      <c r="A65" s="71"/>
      <c r="B65" s="13">
        <v>15</v>
      </c>
      <c r="C65" s="50">
        <v>464381</v>
      </c>
      <c r="D65" s="57" t="s">
        <v>93</v>
      </c>
      <c r="E65" s="15" t="s">
        <v>13</v>
      </c>
      <c r="F65" s="97">
        <v>21516</v>
      </c>
      <c r="G65" s="16">
        <v>6.19</v>
      </c>
      <c r="H65" s="45">
        <f t="shared" si="1"/>
        <v>133184.04</v>
      </c>
    </row>
    <row r="66" spans="1:8" x14ac:dyDescent="0.2">
      <c r="A66" s="71"/>
      <c r="B66" s="13">
        <v>16</v>
      </c>
      <c r="C66" s="50">
        <v>463753</v>
      </c>
      <c r="D66" s="57" t="s">
        <v>94</v>
      </c>
      <c r="E66" s="15" t="s">
        <v>13</v>
      </c>
      <c r="F66" s="97">
        <v>274</v>
      </c>
      <c r="G66" s="16">
        <v>5.86</v>
      </c>
      <c r="H66" s="45">
        <f t="shared" si="1"/>
        <v>1605.64</v>
      </c>
    </row>
    <row r="67" spans="1:8" x14ac:dyDescent="0.2">
      <c r="A67" s="71"/>
      <c r="B67" s="13">
        <v>17</v>
      </c>
      <c r="C67" s="58">
        <v>463754</v>
      </c>
      <c r="D67" s="18" t="s">
        <v>95</v>
      </c>
      <c r="E67" s="15" t="s">
        <v>13</v>
      </c>
      <c r="F67" s="97">
        <v>4880</v>
      </c>
      <c r="G67" s="16">
        <v>5.75</v>
      </c>
      <c r="H67" s="45">
        <f t="shared" si="1"/>
        <v>28060</v>
      </c>
    </row>
    <row r="68" spans="1:8" x14ac:dyDescent="0.2">
      <c r="A68" s="71"/>
      <c r="B68" s="13">
        <v>18</v>
      </c>
      <c r="C68" s="58">
        <v>463767</v>
      </c>
      <c r="D68" s="18" t="s">
        <v>96</v>
      </c>
      <c r="E68" s="15" t="s">
        <v>13</v>
      </c>
      <c r="F68" s="97">
        <v>252</v>
      </c>
      <c r="G68" s="16">
        <v>6</v>
      </c>
      <c r="H68" s="45">
        <f t="shared" si="1"/>
        <v>1512</v>
      </c>
    </row>
    <row r="69" spans="1:8" x14ac:dyDescent="0.2">
      <c r="A69" s="71"/>
      <c r="B69" s="13">
        <v>19</v>
      </c>
      <c r="C69" s="58">
        <v>463781</v>
      </c>
      <c r="D69" s="18" t="s">
        <v>97</v>
      </c>
      <c r="E69" s="15" t="s">
        <v>13</v>
      </c>
      <c r="F69" s="97">
        <v>660</v>
      </c>
      <c r="G69" s="16">
        <v>4.99</v>
      </c>
      <c r="H69" s="45">
        <f t="shared" si="1"/>
        <v>3293.4</v>
      </c>
    </row>
    <row r="70" spans="1:8" x14ac:dyDescent="0.2">
      <c r="A70" s="71"/>
      <c r="B70" s="13">
        <v>20</v>
      </c>
      <c r="C70" s="58">
        <v>463770</v>
      </c>
      <c r="D70" s="18" t="s">
        <v>98</v>
      </c>
      <c r="E70" s="15" t="s">
        <v>13</v>
      </c>
      <c r="F70" s="97">
        <v>2992</v>
      </c>
      <c r="G70" s="16">
        <v>6.03</v>
      </c>
      <c r="H70" s="45">
        <f t="shared" si="1"/>
        <v>18041.760000000002</v>
      </c>
    </row>
    <row r="71" spans="1:8" x14ac:dyDescent="0.2">
      <c r="A71" s="71"/>
      <c r="B71" s="13">
        <v>21</v>
      </c>
      <c r="C71" s="58">
        <v>463778</v>
      </c>
      <c r="D71" s="18" t="s">
        <v>99</v>
      </c>
      <c r="E71" s="15" t="s">
        <v>13</v>
      </c>
      <c r="F71" s="97">
        <v>244</v>
      </c>
      <c r="G71" s="16">
        <v>4.0199999999999996</v>
      </c>
      <c r="H71" s="45">
        <f t="shared" si="1"/>
        <v>980.87999999999988</v>
      </c>
    </row>
    <row r="72" spans="1:8" x14ac:dyDescent="0.2">
      <c r="A72" s="71"/>
      <c r="B72" s="13">
        <v>22</v>
      </c>
      <c r="C72" s="58">
        <v>463789</v>
      </c>
      <c r="D72" s="18" t="s">
        <v>100</v>
      </c>
      <c r="E72" s="15" t="s">
        <v>13</v>
      </c>
      <c r="F72" s="97">
        <v>880</v>
      </c>
      <c r="G72" s="16">
        <v>7.63</v>
      </c>
      <c r="H72" s="45">
        <f t="shared" si="1"/>
        <v>6714.4</v>
      </c>
    </row>
    <row r="73" spans="1:8" x14ac:dyDescent="0.2">
      <c r="A73" s="71"/>
      <c r="B73" s="13">
        <v>23</v>
      </c>
      <c r="C73" s="58">
        <v>464393</v>
      </c>
      <c r="D73" s="18" t="s">
        <v>101</v>
      </c>
      <c r="E73" s="15" t="s">
        <v>13</v>
      </c>
      <c r="F73" s="97">
        <v>4736</v>
      </c>
      <c r="G73" s="16">
        <v>5.63</v>
      </c>
      <c r="H73" s="45">
        <f t="shared" si="1"/>
        <v>26663.68</v>
      </c>
    </row>
    <row r="74" spans="1:8" x14ac:dyDescent="0.2">
      <c r="A74" s="71"/>
      <c r="B74" s="13">
        <v>24</v>
      </c>
      <c r="C74" s="58">
        <v>464400</v>
      </c>
      <c r="D74" s="18" t="s">
        <v>102</v>
      </c>
      <c r="E74" s="15" t="s">
        <v>13</v>
      </c>
      <c r="F74" s="97">
        <v>5754</v>
      </c>
      <c r="G74" s="16">
        <v>10.74</v>
      </c>
      <c r="H74" s="45">
        <f t="shared" si="1"/>
        <v>61797.96</v>
      </c>
    </row>
    <row r="75" spans="1:8" x14ac:dyDescent="0.2">
      <c r="A75" s="71"/>
      <c r="B75" s="13">
        <v>25</v>
      </c>
      <c r="C75" s="58">
        <v>464436</v>
      </c>
      <c r="D75" s="18" t="s">
        <v>103</v>
      </c>
      <c r="E75" s="15" t="s">
        <v>13</v>
      </c>
      <c r="F75" s="97">
        <v>1976</v>
      </c>
      <c r="G75" s="16">
        <v>6.15</v>
      </c>
      <c r="H75" s="45">
        <f t="shared" si="1"/>
        <v>12152.400000000001</v>
      </c>
    </row>
    <row r="76" spans="1:8" x14ac:dyDescent="0.2">
      <c r="A76" s="71"/>
      <c r="B76" s="13">
        <v>26</v>
      </c>
      <c r="C76" s="58">
        <v>234350</v>
      </c>
      <c r="D76" s="18" t="s">
        <v>104</v>
      </c>
      <c r="E76" s="15" t="s">
        <v>105</v>
      </c>
      <c r="F76" s="97">
        <v>4190</v>
      </c>
      <c r="G76" s="16">
        <v>23.04</v>
      </c>
      <c r="H76" s="45">
        <f t="shared" si="1"/>
        <v>96537.599999999991</v>
      </c>
    </row>
    <row r="77" spans="1:8" x14ac:dyDescent="0.2">
      <c r="A77" s="71"/>
      <c r="B77" s="13">
        <v>27</v>
      </c>
      <c r="C77" s="58">
        <v>463839</v>
      </c>
      <c r="D77" s="18" t="s">
        <v>106</v>
      </c>
      <c r="E77" s="15" t="s">
        <v>13</v>
      </c>
      <c r="F77" s="97">
        <v>740</v>
      </c>
      <c r="G77" s="16">
        <v>4.46</v>
      </c>
      <c r="H77" s="45">
        <f t="shared" si="1"/>
        <v>3300.4</v>
      </c>
    </row>
    <row r="78" spans="1:8" x14ac:dyDescent="0.2">
      <c r="A78" s="71"/>
      <c r="B78" s="13">
        <v>28</v>
      </c>
      <c r="C78" s="58">
        <v>463829</v>
      </c>
      <c r="D78" s="18" t="s">
        <v>107</v>
      </c>
      <c r="E78" s="15" t="s">
        <v>13</v>
      </c>
      <c r="F78" s="97">
        <v>366</v>
      </c>
      <c r="G78" s="16">
        <v>5</v>
      </c>
      <c r="H78" s="45">
        <f t="shared" si="1"/>
        <v>1830</v>
      </c>
    </row>
    <row r="79" spans="1:8" x14ac:dyDescent="0.2">
      <c r="A79" s="71"/>
      <c r="B79" s="13">
        <v>29</v>
      </c>
      <c r="C79" s="58">
        <v>463804</v>
      </c>
      <c r="D79" s="18" t="s">
        <v>108</v>
      </c>
      <c r="E79" s="15" t="s">
        <v>13</v>
      </c>
      <c r="F79" s="97">
        <v>10320</v>
      </c>
      <c r="G79" s="16">
        <v>8.6300000000000008</v>
      </c>
      <c r="H79" s="45">
        <f t="shared" si="1"/>
        <v>89061.6</v>
      </c>
    </row>
    <row r="80" spans="1:8" x14ac:dyDescent="0.2">
      <c r="A80" s="71"/>
      <c r="B80" s="13">
        <v>30</v>
      </c>
      <c r="C80" s="58">
        <v>463809</v>
      </c>
      <c r="D80" s="18" t="s">
        <v>109</v>
      </c>
      <c r="E80" s="15" t="s">
        <v>13</v>
      </c>
      <c r="F80" s="97">
        <v>92</v>
      </c>
      <c r="G80" s="16">
        <v>7.5</v>
      </c>
      <c r="H80" s="45">
        <f t="shared" si="1"/>
        <v>690</v>
      </c>
    </row>
    <row r="81" spans="1:8" x14ac:dyDescent="0.2">
      <c r="A81" s="71"/>
      <c r="B81" s="13">
        <v>31</v>
      </c>
      <c r="C81" s="58">
        <v>463796</v>
      </c>
      <c r="D81" s="18" t="s">
        <v>110</v>
      </c>
      <c r="E81" s="15" t="s">
        <v>13</v>
      </c>
      <c r="F81" s="97">
        <v>744</v>
      </c>
      <c r="G81" s="16">
        <v>5.13</v>
      </c>
      <c r="H81" s="45">
        <f t="shared" si="1"/>
        <v>3816.72</v>
      </c>
    </row>
    <row r="82" spans="1:8" x14ac:dyDescent="0.2">
      <c r="A82" s="71"/>
      <c r="B82" s="13">
        <v>32</v>
      </c>
      <c r="C82" s="58">
        <v>463807</v>
      </c>
      <c r="D82" s="18" t="s">
        <v>111</v>
      </c>
      <c r="E82" s="15" t="s">
        <v>13</v>
      </c>
      <c r="F82" s="97">
        <v>172</v>
      </c>
      <c r="G82" s="16">
        <v>11.9</v>
      </c>
      <c r="H82" s="45">
        <f t="shared" si="1"/>
        <v>2046.8</v>
      </c>
    </row>
    <row r="83" spans="1:8" x14ac:dyDescent="0.2">
      <c r="A83" s="71"/>
      <c r="B83" s="13">
        <v>33</v>
      </c>
      <c r="C83" s="58">
        <v>464418</v>
      </c>
      <c r="D83" s="18" t="s">
        <v>112</v>
      </c>
      <c r="E83" s="15" t="s">
        <v>13</v>
      </c>
      <c r="F83" s="97">
        <v>3558</v>
      </c>
      <c r="G83" s="16">
        <v>4.33</v>
      </c>
      <c r="H83" s="45">
        <f t="shared" si="1"/>
        <v>15406.14</v>
      </c>
    </row>
    <row r="84" spans="1:8" x14ac:dyDescent="0.2">
      <c r="A84" s="71"/>
      <c r="B84" s="13">
        <v>34</v>
      </c>
      <c r="C84" s="58">
        <v>464370</v>
      </c>
      <c r="D84" s="18" t="s">
        <v>113</v>
      </c>
      <c r="E84" s="15" t="s">
        <v>13</v>
      </c>
      <c r="F84" s="97">
        <v>1683</v>
      </c>
      <c r="G84" s="16">
        <v>6.58</v>
      </c>
      <c r="H84" s="45">
        <f t="shared" si="1"/>
        <v>11074.14</v>
      </c>
    </row>
    <row r="85" spans="1:8" x14ac:dyDescent="0.2">
      <c r="A85" s="71"/>
      <c r="B85" s="13">
        <v>35</v>
      </c>
      <c r="C85" s="58">
        <v>464404</v>
      </c>
      <c r="D85" s="18" t="s">
        <v>114</v>
      </c>
      <c r="E85" s="15" t="s">
        <v>13</v>
      </c>
      <c r="F85" s="97">
        <v>3558</v>
      </c>
      <c r="G85" s="16">
        <v>7.45</v>
      </c>
      <c r="H85" s="45">
        <f t="shared" si="1"/>
        <v>26507.100000000002</v>
      </c>
    </row>
    <row r="86" spans="1:8" x14ac:dyDescent="0.2">
      <c r="A86" s="71"/>
      <c r="B86" s="13">
        <v>36</v>
      </c>
      <c r="C86" s="58">
        <v>464392</v>
      </c>
      <c r="D86" s="18" t="s">
        <v>115</v>
      </c>
      <c r="E86" s="15" t="s">
        <v>13</v>
      </c>
      <c r="F86" s="97">
        <v>3558</v>
      </c>
      <c r="G86" s="16">
        <v>7.69</v>
      </c>
      <c r="H86" s="45">
        <f t="shared" si="1"/>
        <v>27361.02</v>
      </c>
    </row>
    <row r="87" spans="1:8" x14ac:dyDescent="0.2">
      <c r="A87" s="71"/>
      <c r="B87" s="13">
        <v>37</v>
      </c>
      <c r="C87" s="58">
        <v>464374</v>
      </c>
      <c r="D87" s="18" t="s">
        <v>116</v>
      </c>
      <c r="E87" s="15" t="s">
        <v>13</v>
      </c>
      <c r="F87" s="97">
        <v>2238</v>
      </c>
      <c r="G87" s="16">
        <v>7.8</v>
      </c>
      <c r="H87" s="45">
        <f t="shared" si="1"/>
        <v>17456.399999999998</v>
      </c>
    </row>
    <row r="88" spans="1:8" x14ac:dyDescent="0.2">
      <c r="A88" s="71"/>
      <c r="B88" s="13">
        <v>38</v>
      </c>
      <c r="C88" s="58">
        <v>463797</v>
      </c>
      <c r="D88" s="18" t="s">
        <v>117</v>
      </c>
      <c r="E88" s="15" t="s">
        <v>13</v>
      </c>
      <c r="F88" s="97">
        <v>2394</v>
      </c>
      <c r="G88" s="16">
        <v>8.61</v>
      </c>
      <c r="H88" s="45">
        <f t="shared" si="1"/>
        <v>20612.34</v>
      </c>
    </row>
    <row r="89" spans="1:8" x14ac:dyDescent="0.2">
      <c r="A89" s="71"/>
      <c r="B89" s="13">
        <v>39</v>
      </c>
      <c r="C89" s="58">
        <v>464398</v>
      </c>
      <c r="D89" s="18" t="s">
        <v>118</v>
      </c>
      <c r="E89" s="15" t="s">
        <v>13</v>
      </c>
      <c r="F89" s="97">
        <v>288</v>
      </c>
      <c r="G89" s="16">
        <v>6.71</v>
      </c>
      <c r="H89" s="45">
        <f t="shared" si="1"/>
        <v>1932.48</v>
      </c>
    </row>
    <row r="90" spans="1:8" ht="13.5" thickBot="1" x14ac:dyDescent="0.25">
      <c r="A90" s="71"/>
      <c r="B90" s="13">
        <v>40</v>
      </c>
      <c r="C90" s="58">
        <v>463898</v>
      </c>
      <c r="D90" s="18" t="s">
        <v>119</v>
      </c>
      <c r="E90" s="15" t="s">
        <v>13</v>
      </c>
      <c r="F90" s="97">
        <v>120</v>
      </c>
      <c r="G90" s="64">
        <v>12.9</v>
      </c>
      <c r="H90" s="47">
        <f t="shared" si="1"/>
        <v>1548</v>
      </c>
    </row>
    <row r="91" spans="1:8" ht="13.5" thickBot="1" x14ac:dyDescent="0.25">
      <c r="A91" s="72" t="s">
        <v>46</v>
      </c>
      <c r="B91" s="75"/>
      <c r="C91" s="75"/>
      <c r="D91" s="75"/>
      <c r="E91" s="75"/>
      <c r="F91" s="73"/>
      <c r="G91" s="74"/>
      <c r="H91" s="20">
        <f>SUM(H51:H90)</f>
        <v>677135.51000000013</v>
      </c>
    </row>
    <row r="92" spans="1:8" ht="13.5" thickBot="1" x14ac:dyDescent="0.25"/>
    <row r="93" spans="1:8" ht="13.5" thickBot="1" x14ac:dyDescent="0.25">
      <c r="A93" s="5" t="s">
        <v>49</v>
      </c>
      <c r="B93" s="6"/>
      <c r="C93" s="6"/>
      <c r="D93" s="6"/>
      <c r="E93" s="24"/>
      <c r="F93" s="6"/>
      <c r="G93" s="7"/>
      <c r="H93" s="8"/>
    </row>
    <row r="94" spans="1:8" ht="13.5" thickBot="1" x14ac:dyDescent="0.25">
      <c r="A94" s="9" t="s">
        <v>3</v>
      </c>
      <c r="B94" s="10" t="s">
        <v>4</v>
      </c>
      <c r="C94" s="41" t="s">
        <v>78</v>
      </c>
      <c r="D94" s="10" t="s">
        <v>6</v>
      </c>
      <c r="E94" s="10" t="s">
        <v>7</v>
      </c>
      <c r="F94" s="10" t="s">
        <v>8</v>
      </c>
      <c r="G94" s="11" t="s">
        <v>9</v>
      </c>
      <c r="H94" s="12" t="s">
        <v>10</v>
      </c>
    </row>
    <row r="95" spans="1:8" x14ac:dyDescent="0.2">
      <c r="A95" s="70" t="s">
        <v>50</v>
      </c>
      <c r="B95" s="13">
        <v>1</v>
      </c>
      <c r="C95" s="51">
        <v>463746</v>
      </c>
      <c r="D95" s="56" t="s">
        <v>79</v>
      </c>
      <c r="E95" s="15" t="s">
        <v>13</v>
      </c>
      <c r="F95" s="96">
        <v>2792</v>
      </c>
      <c r="G95" s="16">
        <v>5.23</v>
      </c>
      <c r="H95" s="22">
        <f>F95*G95</f>
        <v>14602.160000000002</v>
      </c>
    </row>
    <row r="96" spans="1:8" x14ac:dyDescent="0.2">
      <c r="A96" s="71"/>
      <c r="B96" s="13">
        <v>2</v>
      </c>
      <c r="C96" s="50">
        <v>467575</v>
      </c>
      <c r="D96" s="56" t="s">
        <v>80</v>
      </c>
      <c r="E96" s="15" t="s">
        <v>13</v>
      </c>
      <c r="F96" s="97">
        <v>238</v>
      </c>
      <c r="G96" s="16">
        <v>9.99</v>
      </c>
      <c r="H96" s="23">
        <f t="shared" ref="H96:H134" si="2">F96*G96</f>
        <v>2377.62</v>
      </c>
    </row>
    <row r="97" spans="1:8" x14ac:dyDescent="0.2">
      <c r="A97" s="71"/>
      <c r="B97" s="13">
        <v>3</v>
      </c>
      <c r="C97" s="50">
        <v>463831</v>
      </c>
      <c r="D97" s="57" t="s">
        <v>81</v>
      </c>
      <c r="E97" s="15" t="s">
        <v>13</v>
      </c>
      <c r="F97" s="97">
        <v>238</v>
      </c>
      <c r="G97" s="16">
        <v>9.5</v>
      </c>
      <c r="H97" s="23">
        <f t="shared" si="2"/>
        <v>2261</v>
      </c>
    </row>
    <row r="98" spans="1:8" x14ac:dyDescent="0.2">
      <c r="A98" s="71"/>
      <c r="B98" s="13">
        <v>4</v>
      </c>
      <c r="C98" s="50">
        <v>463818</v>
      </c>
      <c r="D98" s="57" t="s">
        <v>82</v>
      </c>
      <c r="E98" s="15" t="s">
        <v>13</v>
      </c>
      <c r="F98" s="97">
        <v>238</v>
      </c>
      <c r="G98" s="16">
        <v>5.46</v>
      </c>
      <c r="H98" s="23">
        <f t="shared" si="2"/>
        <v>1299.48</v>
      </c>
    </row>
    <row r="99" spans="1:8" x14ac:dyDescent="0.2">
      <c r="A99" s="71"/>
      <c r="B99" s="13">
        <v>5</v>
      </c>
      <c r="C99" s="50">
        <v>463824</v>
      </c>
      <c r="D99" s="57" t="s">
        <v>83</v>
      </c>
      <c r="E99" s="15" t="s">
        <v>13</v>
      </c>
      <c r="F99" s="97">
        <v>238</v>
      </c>
      <c r="G99" s="16">
        <v>12</v>
      </c>
      <c r="H99" s="23">
        <f t="shared" si="2"/>
        <v>2856</v>
      </c>
    </row>
    <row r="100" spans="1:8" x14ac:dyDescent="0.2">
      <c r="A100" s="71"/>
      <c r="B100" s="13">
        <v>6</v>
      </c>
      <c r="C100" s="50">
        <v>463749</v>
      </c>
      <c r="D100" s="57" t="s">
        <v>84</v>
      </c>
      <c r="E100" s="15" t="s">
        <v>13</v>
      </c>
      <c r="F100" s="97">
        <v>420</v>
      </c>
      <c r="G100" s="16">
        <v>4.95</v>
      </c>
      <c r="H100" s="23">
        <f t="shared" si="2"/>
        <v>2079</v>
      </c>
    </row>
    <row r="101" spans="1:8" x14ac:dyDescent="0.2">
      <c r="A101" s="71"/>
      <c r="B101" s="13">
        <v>7</v>
      </c>
      <c r="C101" s="50">
        <v>463795</v>
      </c>
      <c r="D101" s="57" t="s">
        <v>85</v>
      </c>
      <c r="E101" s="15" t="s">
        <v>13</v>
      </c>
      <c r="F101" s="97">
        <v>2448</v>
      </c>
      <c r="G101" s="16">
        <v>5.18</v>
      </c>
      <c r="H101" s="23">
        <f t="shared" si="2"/>
        <v>12680.64</v>
      </c>
    </row>
    <row r="102" spans="1:8" x14ac:dyDescent="0.2">
      <c r="A102" s="71"/>
      <c r="B102" s="13">
        <v>8</v>
      </c>
      <c r="C102" s="50">
        <v>463832</v>
      </c>
      <c r="D102" s="57" t="s">
        <v>86</v>
      </c>
      <c r="E102" s="15" t="s">
        <v>13</v>
      </c>
      <c r="F102" s="97">
        <v>525</v>
      </c>
      <c r="G102" s="16">
        <v>10.72</v>
      </c>
      <c r="H102" s="23">
        <f t="shared" si="2"/>
        <v>5628</v>
      </c>
    </row>
    <row r="103" spans="1:8" x14ac:dyDescent="0.2">
      <c r="A103" s="71"/>
      <c r="B103" s="13">
        <v>9</v>
      </c>
      <c r="C103" s="50">
        <v>461695</v>
      </c>
      <c r="D103" s="57" t="s">
        <v>87</v>
      </c>
      <c r="E103" s="15" t="s">
        <v>13</v>
      </c>
      <c r="F103" s="97">
        <v>936</v>
      </c>
      <c r="G103" s="16">
        <v>25.33</v>
      </c>
      <c r="H103" s="23">
        <f t="shared" si="2"/>
        <v>23708.879999999997</v>
      </c>
    </row>
    <row r="104" spans="1:8" x14ac:dyDescent="0.2">
      <c r="A104" s="71"/>
      <c r="B104" s="13">
        <v>10</v>
      </c>
      <c r="C104" s="50">
        <v>463930</v>
      </c>
      <c r="D104" s="57" t="s">
        <v>88</v>
      </c>
      <c r="E104" s="15" t="s">
        <v>13</v>
      </c>
      <c r="F104" s="97">
        <v>88</v>
      </c>
      <c r="G104" s="16">
        <v>15</v>
      </c>
      <c r="H104" s="23">
        <f t="shared" si="2"/>
        <v>1320</v>
      </c>
    </row>
    <row r="105" spans="1:8" x14ac:dyDescent="0.2">
      <c r="A105" s="71"/>
      <c r="B105" s="13">
        <v>11</v>
      </c>
      <c r="C105" s="50">
        <v>463876</v>
      </c>
      <c r="D105" s="57" t="s">
        <v>89</v>
      </c>
      <c r="E105" s="15" t="s">
        <v>13</v>
      </c>
      <c r="F105" s="97">
        <v>231</v>
      </c>
      <c r="G105" s="16">
        <v>15</v>
      </c>
      <c r="H105" s="23">
        <f t="shared" si="2"/>
        <v>3465</v>
      </c>
    </row>
    <row r="106" spans="1:8" x14ac:dyDescent="0.2">
      <c r="A106" s="71"/>
      <c r="B106" s="13">
        <v>12</v>
      </c>
      <c r="C106" s="50">
        <v>282791</v>
      </c>
      <c r="D106" s="57" t="s">
        <v>90</v>
      </c>
      <c r="E106" s="15" t="s">
        <v>13</v>
      </c>
      <c r="F106" s="97">
        <v>232</v>
      </c>
      <c r="G106" s="16">
        <v>15</v>
      </c>
      <c r="H106" s="23">
        <f t="shared" si="2"/>
        <v>3480</v>
      </c>
    </row>
    <row r="107" spans="1:8" x14ac:dyDescent="0.2">
      <c r="A107" s="71"/>
      <c r="B107" s="13">
        <v>13</v>
      </c>
      <c r="C107" s="50">
        <v>463822</v>
      </c>
      <c r="D107" s="57" t="s">
        <v>91</v>
      </c>
      <c r="E107" s="15" t="s">
        <v>13</v>
      </c>
      <c r="F107" s="97">
        <v>740</v>
      </c>
      <c r="G107" s="16">
        <v>11.96</v>
      </c>
      <c r="H107" s="23">
        <f t="shared" si="2"/>
        <v>8850.4000000000015</v>
      </c>
    </row>
    <row r="108" spans="1:8" x14ac:dyDescent="0.2">
      <c r="A108" s="71"/>
      <c r="B108" s="13">
        <v>14</v>
      </c>
      <c r="C108" s="50">
        <v>464377</v>
      </c>
      <c r="D108" s="57" t="s">
        <v>92</v>
      </c>
      <c r="E108" s="15" t="s">
        <v>13</v>
      </c>
      <c r="F108" s="97">
        <v>1239</v>
      </c>
      <c r="G108" s="16">
        <v>7.95</v>
      </c>
      <c r="H108" s="23">
        <f t="shared" si="2"/>
        <v>9850.0500000000011</v>
      </c>
    </row>
    <row r="109" spans="1:8" x14ac:dyDescent="0.2">
      <c r="A109" s="71"/>
      <c r="B109" s="13">
        <v>15</v>
      </c>
      <c r="C109" s="50">
        <v>464381</v>
      </c>
      <c r="D109" s="57" t="s">
        <v>93</v>
      </c>
      <c r="E109" s="15" t="s">
        <v>13</v>
      </c>
      <c r="F109" s="97">
        <v>31464</v>
      </c>
      <c r="G109" s="16">
        <v>6.19</v>
      </c>
      <c r="H109" s="23">
        <f t="shared" si="2"/>
        <v>194762.16</v>
      </c>
    </row>
    <row r="110" spans="1:8" x14ac:dyDescent="0.2">
      <c r="A110" s="71"/>
      <c r="B110" s="13">
        <v>16</v>
      </c>
      <c r="C110" s="50">
        <v>463753</v>
      </c>
      <c r="D110" s="57" t="s">
        <v>94</v>
      </c>
      <c r="E110" s="15" t="s">
        <v>13</v>
      </c>
      <c r="F110" s="97">
        <v>416</v>
      </c>
      <c r="G110" s="16">
        <v>5.86</v>
      </c>
      <c r="H110" s="23">
        <f t="shared" si="2"/>
        <v>2437.7600000000002</v>
      </c>
    </row>
    <row r="111" spans="1:8" x14ac:dyDescent="0.2">
      <c r="A111" s="71"/>
      <c r="B111" s="13">
        <v>17</v>
      </c>
      <c r="C111" s="58">
        <v>463754</v>
      </c>
      <c r="D111" s="18" t="s">
        <v>95</v>
      </c>
      <c r="E111" s="15" t="s">
        <v>13</v>
      </c>
      <c r="F111" s="97">
        <v>7140</v>
      </c>
      <c r="G111" s="16">
        <v>5.76</v>
      </c>
      <c r="H111" s="23">
        <f t="shared" si="2"/>
        <v>41126.400000000001</v>
      </c>
    </row>
    <row r="112" spans="1:8" x14ac:dyDescent="0.2">
      <c r="A112" s="71"/>
      <c r="B112" s="13">
        <v>18</v>
      </c>
      <c r="C112" s="58">
        <v>463767</v>
      </c>
      <c r="D112" s="18" t="s">
        <v>96</v>
      </c>
      <c r="E112" s="15" t="s">
        <v>13</v>
      </c>
      <c r="F112" s="97">
        <v>360</v>
      </c>
      <c r="G112" s="16">
        <v>6</v>
      </c>
      <c r="H112" s="23">
        <f t="shared" si="2"/>
        <v>2160</v>
      </c>
    </row>
    <row r="113" spans="1:8" x14ac:dyDescent="0.2">
      <c r="A113" s="71"/>
      <c r="B113" s="13">
        <v>19</v>
      </c>
      <c r="C113" s="58">
        <v>463781</v>
      </c>
      <c r="D113" s="18" t="s">
        <v>97</v>
      </c>
      <c r="E113" s="15" t="s">
        <v>13</v>
      </c>
      <c r="F113" s="97">
        <v>960</v>
      </c>
      <c r="G113" s="16">
        <v>4.99</v>
      </c>
      <c r="H113" s="23">
        <f t="shared" si="2"/>
        <v>4790.4000000000005</v>
      </c>
    </row>
    <row r="114" spans="1:8" x14ac:dyDescent="0.2">
      <c r="A114" s="71"/>
      <c r="B114" s="13">
        <v>20</v>
      </c>
      <c r="C114" s="58">
        <v>463770</v>
      </c>
      <c r="D114" s="18" t="s">
        <v>98</v>
      </c>
      <c r="E114" s="15" t="s">
        <v>13</v>
      </c>
      <c r="F114" s="97">
        <v>5005</v>
      </c>
      <c r="G114" s="16">
        <v>6.03</v>
      </c>
      <c r="H114" s="23">
        <f t="shared" si="2"/>
        <v>30180.15</v>
      </c>
    </row>
    <row r="115" spans="1:8" x14ac:dyDescent="0.2">
      <c r="A115" s="71"/>
      <c r="B115" s="13">
        <v>21</v>
      </c>
      <c r="C115" s="58">
        <v>463778</v>
      </c>
      <c r="D115" s="18" t="s">
        <v>99</v>
      </c>
      <c r="E115" s="15" t="s">
        <v>13</v>
      </c>
      <c r="F115" s="97">
        <v>356</v>
      </c>
      <c r="G115" s="16">
        <v>4.04</v>
      </c>
      <c r="H115" s="23">
        <f t="shared" si="2"/>
        <v>1438.24</v>
      </c>
    </row>
    <row r="116" spans="1:8" x14ac:dyDescent="0.2">
      <c r="A116" s="71"/>
      <c r="B116" s="13">
        <v>22</v>
      </c>
      <c r="C116" s="58">
        <v>463789</v>
      </c>
      <c r="D116" s="18" t="s">
        <v>100</v>
      </c>
      <c r="E116" s="15" t="s">
        <v>13</v>
      </c>
      <c r="F116" s="97">
        <v>1276</v>
      </c>
      <c r="G116" s="16">
        <v>7.63</v>
      </c>
      <c r="H116" s="23">
        <f t="shared" si="2"/>
        <v>9735.8799999999992</v>
      </c>
    </row>
    <row r="117" spans="1:8" x14ac:dyDescent="0.2">
      <c r="A117" s="71"/>
      <c r="B117" s="13">
        <v>23</v>
      </c>
      <c r="C117" s="58">
        <v>464393</v>
      </c>
      <c r="D117" s="18" t="s">
        <v>101</v>
      </c>
      <c r="E117" s="15" t="s">
        <v>13</v>
      </c>
      <c r="F117" s="97">
        <v>8832</v>
      </c>
      <c r="G117" s="16">
        <v>5.64</v>
      </c>
      <c r="H117" s="23">
        <f t="shared" si="2"/>
        <v>49812.479999999996</v>
      </c>
    </row>
    <row r="118" spans="1:8" x14ac:dyDescent="0.2">
      <c r="A118" s="71"/>
      <c r="B118" s="13">
        <v>24</v>
      </c>
      <c r="C118" s="58">
        <v>464400</v>
      </c>
      <c r="D118" s="18" t="s">
        <v>102</v>
      </c>
      <c r="E118" s="15" t="s">
        <v>13</v>
      </c>
      <c r="F118" s="97">
        <v>8382</v>
      </c>
      <c r="G118" s="16">
        <v>10.74</v>
      </c>
      <c r="H118" s="23">
        <f t="shared" si="2"/>
        <v>90022.680000000008</v>
      </c>
    </row>
    <row r="119" spans="1:8" x14ac:dyDescent="0.2">
      <c r="A119" s="71"/>
      <c r="B119" s="13">
        <v>25</v>
      </c>
      <c r="C119" s="58">
        <v>464436</v>
      </c>
      <c r="D119" s="18" t="s">
        <v>103</v>
      </c>
      <c r="E119" s="15" t="s">
        <v>13</v>
      </c>
      <c r="F119" s="97">
        <v>2884</v>
      </c>
      <c r="G119" s="16">
        <v>6.15</v>
      </c>
      <c r="H119" s="23">
        <f t="shared" si="2"/>
        <v>17736.600000000002</v>
      </c>
    </row>
    <row r="120" spans="1:8" x14ac:dyDescent="0.2">
      <c r="A120" s="71"/>
      <c r="B120" s="13">
        <v>26</v>
      </c>
      <c r="C120" s="58">
        <v>234350</v>
      </c>
      <c r="D120" s="18" t="s">
        <v>104</v>
      </c>
      <c r="E120" s="15" t="s">
        <v>105</v>
      </c>
      <c r="F120" s="97">
        <v>6120</v>
      </c>
      <c r="G120" s="16">
        <v>23.04</v>
      </c>
      <c r="H120" s="23">
        <f t="shared" si="2"/>
        <v>141004.79999999999</v>
      </c>
    </row>
    <row r="121" spans="1:8" x14ac:dyDescent="0.2">
      <c r="A121" s="71"/>
      <c r="B121" s="13">
        <v>27</v>
      </c>
      <c r="C121" s="58">
        <v>463839</v>
      </c>
      <c r="D121" s="18" t="s">
        <v>106</v>
      </c>
      <c r="E121" s="15" t="s">
        <v>13</v>
      </c>
      <c r="F121" s="97">
        <v>1390</v>
      </c>
      <c r="G121" s="16">
        <v>4.46</v>
      </c>
      <c r="H121" s="23">
        <f t="shared" si="2"/>
        <v>6199.4</v>
      </c>
    </row>
    <row r="122" spans="1:8" x14ac:dyDescent="0.2">
      <c r="A122" s="71"/>
      <c r="B122" s="13">
        <v>28</v>
      </c>
      <c r="C122" s="58">
        <v>463829</v>
      </c>
      <c r="D122" s="18" t="s">
        <v>107</v>
      </c>
      <c r="E122" s="15" t="s">
        <v>13</v>
      </c>
      <c r="F122" s="97">
        <v>528</v>
      </c>
      <c r="G122" s="16">
        <v>5</v>
      </c>
      <c r="H122" s="23">
        <f t="shared" si="2"/>
        <v>2640</v>
      </c>
    </row>
    <row r="123" spans="1:8" x14ac:dyDescent="0.2">
      <c r="A123" s="71"/>
      <c r="B123" s="13">
        <v>29</v>
      </c>
      <c r="C123" s="58">
        <v>463804</v>
      </c>
      <c r="D123" s="18" t="s">
        <v>108</v>
      </c>
      <c r="E123" s="15" t="s">
        <v>13</v>
      </c>
      <c r="F123" s="97">
        <v>16660</v>
      </c>
      <c r="G123" s="16">
        <v>8.6300000000000008</v>
      </c>
      <c r="H123" s="23">
        <f t="shared" si="2"/>
        <v>143775.80000000002</v>
      </c>
    </row>
    <row r="124" spans="1:8" x14ac:dyDescent="0.2">
      <c r="A124" s="71"/>
      <c r="B124" s="13">
        <v>30</v>
      </c>
      <c r="C124" s="58">
        <v>463809</v>
      </c>
      <c r="D124" s="18" t="s">
        <v>109</v>
      </c>
      <c r="E124" s="15" t="s">
        <v>13</v>
      </c>
      <c r="F124" s="97">
        <v>136</v>
      </c>
      <c r="G124" s="16">
        <v>7.5</v>
      </c>
      <c r="H124" s="23">
        <f t="shared" si="2"/>
        <v>1020</v>
      </c>
    </row>
    <row r="125" spans="1:8" x14ac:dyDescent="0.2">
      <c r="A125" s="71"/>
      <c r="B125" s="13">
        <v>31</v>
      </c>
      <c r="C125" s="58">
        <v>463796</v>
      </c>
      <c r="D125" s="18" t="s">
        <v>110</v>
      </c>
      <c r="E125" s="15" t="s">
        <v>13</v>
      </c>
      <c r="F125" s="97">
        <v>1062</v>
      </c>
      <c r="G125" s="16">
        <v>5.16</v>
      </c>
      <c r="H125" s="23">
        <f t="shared" si="2"/>
        <v>5479.92</v>
      </c>
    </row>
    <row r="126" spans="1:8" x14ac:dyDescent="0.2">
      <c r="A126" s="71"/>
      <c r="B126" s="13">
        <v>32</v>
      </c>
      <c r="C126" s="58">
        <v>463807</v>
      </c>
      <c r="D126" s="18" t="s">
        <v>111</v>
      </c>
      <c r="E126" s="15" t="s">
        <v>13</v>
      </c>
      <c r="F126" s="97">
        <v>242</v>
      </c>
      <c r="G126" s="16">
        <v>11.9</v>
      </c>
      <c r="H126" s="23">
        <f t="shared" si="2"/>
        <v>2879.8</v>
      </c>
    </row>
    <row r="127" spans="1:8" x14ac:dyDescent="0.2">
      <c r="A127" s="71"/>
      <c r="B127" s="13">
        <v>33</v>
      </c>
      <c r="C127" s="58">
        <v>464418</v>
      </c>
      <c r="D127" s="18" t="s">
        <v>112</v>
      </c>
      <c r="E127" s="15" t="s">
        <v>13</v>
      </c>
      <c r="F127" s="97">
        <v>6624</v>
      </c>
      <c r="G127" s="16">
        <v>4.33</v>
      </c>
      <c r="H127" s="23">
        <f t="shared" si="2"/>
        <v>28681.920000000002</v>
      </c>
    </row>
    <row r="128" spans="1:8" x14ac:dyDescent="0.2">
      <c r="A128" s="71"/>
      <c r="B128" s="13">
        <v>34</v>
      </c>
      <c r="C128" s="58">
        <v>464370</v>
      </c>
      <c r="D128" s="18" t="s">
        <v>113</v>
      </c>
      <c r="E128" s="15" t="s">
        <v>13</v>
      </c>
      <c r="F128" s="97">
        <v>2448</v>
      </c>
      <c r="G128" s="16">
        <v>6.58</v>
      </c>
      <c r="H128" s="23">
        <f t="shared" si="2"/>
        <v>16107.84</v>
      </c>
    </row>
    <row r="129" spans="1:8" x14ac:dyDescent="0.2">
      <c r="A129" s="71"/>
      <c r="B129" s="13">
        <v>35</v>
      </c>
      <c r="C129" s="58">
        <v>464404</v>
      </c>
      <c r="D129" s="18" t="s">
        <v>114</v>
      </c>
      <c r="E129" s="15" t="s">
        <v>13</v>
      </c>
      <c r="F129" s="97">
        <v>6624</v>
      </c>
      <c r="G129" s="16">
        <v>7.45</v>
      </c>
      <c r="H129" s="23">
        <f t="shared" si="2"/>
        <v>49348.800000000003</v>
      </c>
    </row>
    <row r="130" spans="1:8" x14ac:dyDescent="0.2">
      <c r="A130" s="71"/>
      <c r="B130" s="13">
        <v>36</v>
      </c>
      <c r="C130" s="58">
        <v>464392</v>
      </c>
      <c r="D130" s="18" t="s">
        <v>115</v>
      </c>
      <c r="E130" s="15" t="s">
        <v>13</v>
      </c>
      <c r="F130" s="97">
        <v>6624</v>
      </c>
      <c r="G130" s="16">
        <v>7.69</v>
      </c>
      <c r="H130" s="23">
        <f t="shared" si="2"/>
        <v>50938.560000000005</v>
      </c>
    </row>
    <row r="131" spans="1:8" x14ac:dyDescent="0.2">
      <c r="A131" s="71"/>
      <c r="B131" s="13">
        <v>37</v>
      </c>
      <c r="C131" s="58">
        <v>464374</v>
      </c>
      <c r="D131" s="18" t="s">
        <v>116</v>
      </c>
      <c r="E131" s="15" t="s">
        <v>13</v>
      </c>
      <c r="F131" s="97">
        <v>3258</v>
      </c>
      <c r="G131" s="16">
        <v>7.8</v>
      </c>
      <c r="H131" s="23">
        <f t="shared" si="2"/>
        <v>25412.399999999998</v>
      </c>
    </row>
    <row r="132" spans="1:8" x14ac:dyDescent="0.2">
      <c r="A132" s="71"/>
      <c r="B132" s="13">
        <v>38</v>
      </c>
      <c r="C132" s="58">
        <v>463797</v>
      </c>
      <c r="D132" s="18" t="s">
        <v>117</v>
      </c>
      <c r="E132" s="15" t="s">
        <v>13</v>
      </c>
      <c r="F132" s="97">
        <v>3498</v>
      </c>
      <c r="G132" s="16">
        <v>8.61</v>
      </c>
      <c r="H132" s="23">
        <f t="shared" si="2"/>
        <v>30117.78</v>
      </c>
    </row>
    <row r="133" spans="1:8" x14ac:dyDescent="0.2">
      <c r="A133" s="71"/>
      <c r="B133" s="13">
        <v>39</v>
      </c>
      <c r="C133" s="58">
        <v>464398</v>
      </c>
      <c r="D133" s="18" t="s">
        <v>118</v>
      </c>
      <c r="E133" s="15" t="s">
        <v>13</v>
      </c>
      <c r="F133" s="97">
        <v>378</v>
      </c>
      <c r="G133" s="16">
        <v>6.57</v>
      </c>
      <c r="H133" s="23">
        <f t="shared" si="2"/>
        <v>2483.46</v>
      </c>
    </row>
    <row r="134" spans="1:8" ht="13.5" thickBot="1" x14ac:dyDescent="0.25">
      <c r="A134" s="71"/>
      <c r="B134" s="13">
        <v>40</v>
      </c>
      <c r="C134" s="58">
        <v>463898</v>
      </c>
      <c r="D134" s="18" t="s">
        <v>119</v>
      </c>
      <c r="E134" s="15" t="s">
        <v>13</v>
      </c>
      <c r="F134" s="97">
        <v>216</v>
      </c>
      <c r="G134" s="64">
        <v>12.9</v>
      </c>
      <c r="H134" s="23">
        <f t="shared" si="2"/>
        <v>2786.4</v>
      </c>
    </row>
    <row r="135" spans="1:8" ht="13.5" thickBot="1" x14ac:dyDescent="0.25">
      <c r="A135" s="76" t="s">
        <v>46</v>
      </c>
      <c r="B135" s="77"/>
      <c r="C135" s="77"/>
      <c r="D135" s="77"/>
      <c r="E135" s="77"/>
      <c r="F135" s="77"/>
      <c r="G135" s="78"/>
      <c r="H135" s="25">
        <f>SUM(H95:H134)</f>
        <v>1047537.8600000003</v>
      </c>
    </row>
    <row r="136" spans="1:8" ht="13.5" thickBot="1" x14ac:dyDescent="0.25"/>
    <row r="137" spans="1:8" ht="13.5" thickBot="1" x14ac:dyDescent="0.25">
      <c r="A137" s="5" t="s">
        <v>51</v>
      </c>
      <c r="B137" s="6"/>
      <c r="C137" s="6"/>
      <c r="D137" s="6"/>
      <c r="E137" s="6"/>
      <c r="F137" s="6"/>
      <c r="G137" s="7"/>
      <c r="H137" s="8"/>
    </row>
    <row r="138" spans="1:8" ht="13.5" thickBot="1" x14ac:dyDescent="0.25">
      <c r="A138" s="9" t="s">
        <v>3</v>
      </c>
      <c r="B138" s="10" t="s">
        <v>4</v>
      </c>
      <c r="C138" s="41" t="s">
        <v>78</v>
      </c>
      <c r="D138" s="10" t="s">
        <v>6</v>
      </c>
      <c r="E138" s="10" t="s">
        <v>7</v>
      </c>
      <c r="F138" s="10" t="s">
        <v>8</v>
      </c>
      <c r="G138" s="11" t="s">
        <v>9</v>
      </c>
      <c r="H138" s="12" t="s">
        <v>10</v>
      </c>
    </row>
    <row r="139" spans="1:8" x14ac:dyDescent="0.2">
      <c r="A139" s="70" t="s">
        <v>52</v>
      </c>
      <c r="B139" s="13">
        <v>1</v>
      </c>
      <c r="C139" s="51">
        <v>463746</v>
      </c>
      <c r="D139" s="56" t="s">
        <v>79</v>
      </c>
      <c r="E139" s="15" t="s">
        <v>13</v>
      </c>
      <c r="F139" s="96">
        <v>1832</v>
      </c>
      <c r="G139" s="16">
        <v>5.23</v>
      </c>
      <c r="H139" s="45">
        <f>F139*G139</f>
        <v>9581.36</v>
      </c>
    </row>
    <row r="140" spans="1:8" x14ac:dyDescent="0.2">
      <c r="A140" s="71"/>
      <c r="B140" s="13">
        <v>2</v>
      </c>
      <c r="C140" s="50">
        <v>467575</v>
      </c>
      <c r="D140" s="56" t="s">
        <v>80</v>
      </c>
      <c r="E140" s="15" t="s">
        <v>13</v>
      </c>
      <c r="F140" s="97">
        <v>158</v>
      </c>
      <c r="G140" s="16">
        <v>9.99</v>
      </c>
      <c r="H140" s="45">
        <f t="shared" ref="H140:H178" si="3">F140*G140</f>
        <v>1578.42</v>
      </c>
    </row>
    <row r="141" spans="1:8" x14ac:dyDescent="0.2">
      <c r="A141" s="71"/>
      <c r="B141" s="13">
        <v>3</v>
      </c>
      <c r="C141" s="50">
        <v>463831</v>
      </c>
      <c r="D141" s="57" t="s">
        <v>81</v>
      </c>
      <c r="E141" s="15" t="s">
        <v>13</v>
      </c>
      <c r="F141" s="97">
        <v>158</v>
      </c>
      <c r="G141" s="16">
        <v>9.5</v>
      </c>
      <c r="H141" s="45">
        <f t="shared" si="3"/>
        <v>1501</v>
      </c>
    </row>
    <row r="142" spans="1:8" x14ac:dyDescent="0.2">
      <c r="A142" s="71"/>
      <c r="B142" s="13">
        <v>4</v>
      </c>
      <c r="C142" s="50">
        <v>463818</v>
      </c>
      <c r="D142" s="57" t="s">
        <v>82</v>
      </c>
      <c r="E142" s="15" t="s">
        <v>13</v>
      </c>
      <c r="F142" s="97">
        <v>158</v>
      </c>
      <c r="G142" s="16">
        <v>5.49</v>
      </c>
      <c r="H142" s="45">
        <f t="shared" si="3"/>
        <v>867.42000000000007</v>
      </c>
    </row>
    <row r="143" spans="1:8" x14ac:dyDescent="0.2">
      <c r="A143" s="71"/>
      <c r="B143" s="13">
        <v>5</v>
      </c>
      <c r="C143" s="50">
        <v>463824</v>
      </c>
      <c r="D143" s="57" t="s">
        <v>83</v>
      </c>
      <c r="E143" s="15" t="s">
        <v>13</v>
      </c>
      <c r="F143" s="97">
        <v>158</v>
      </c>
      <c r="G143" s="16">
        <v>12</v>
      </c>
      <c r="H143" s="45">
        <f t="shared" si="3"/>
        <v>1896</v>
      </c>
    </row>
    <row r="144" spans="1:8" x14ac:dyDescent="0.2">
      <c r="A144" s="71"/>
      <c r="B144" s="13">
        <v>6</v>
      </c>
      <c r="C144" s="50">
        <v>463749</v>
      </c>
      <c r="D144" s="57" t="s">
        <v>84</v>
      </c>
      <c r="E144" s="15" t="s">
        <v>13</v>
      </c>
      <c r="F144" s="97">
        <v>267</v>
      </c>
      <c r="G144" s="16">
        <v>5.04</v>
      </c>
      <c r="H144" s="45">
        <f t="shared" si="3"/>
        <v>1345.68</v>
      </c>
    </row>
    <row r="145" spans="1:8" x14ac:dyDescent="0.2">
      <c r="A145" s="71"/>
      <c r="B145" s="13">
        <v>7</v>
      </c>
      <c r="C145" s="50">
        <v>463795</v>
      </c>
      <c r="D145" s="57" t="s">
        <v>85</v>
      </c>
      <c r="E145" s="15" t="s">
        <v>13</v>
      </c>
      <c r="F145" s="97">
        <v>1596</v>
      </c>
      <c r="G145" s="16">
        <v>5.37</v>
      </c>
      <c r="H145" s="45">
        <f t="shared" si="3"/>
        <v>8570.52</v>
      </c>
    </row>
    <row r="146" spans="1:8" x14ac:dyDescent="0.2">
      <c r="A146" s="71"/>
      <c r="B146" s="13">
        <v>8</v>
      </c>
      <c r="C146" s="50">
        <v>463832</v>
      </c>
      <c r="D146" s="57" t="s">
        <v>86</v>
      </c>
      <c r="E146" s="15" t="s">
        <v>13</v>
      </c>
      <c r="F146" s="97">
        <v>329</v>
      </c>
      <c r="G146" s="16">
        <v>10.54</v>
      </c>
      <c r="H146" s="45">
        <f t="shared" si="3"/>
        <v>3467.66</v>
      </c>
    </row>
    <row r="147" spans="1:8" x14ac:dyDescent="0.2">
      <c r="A147" s="71"/>
      <c r="B147" s="13">
        <v>9</v>
      </c>
      <c r="C147" s="50">
        <v>461695</v>
      </c>
      <c r="D147" s="57" t="s">
        <v>87</v>
      </c>
      <c r="E147" s="15" t="s">
        <v>13</v>
      </c>
      <c r="F147" s="97">
        <v>632</v>
      </c>
      <c r="G147" s="16">
        <v>24.83</v>
      </c>
      <c r="H147" s="45">
        <f t="shared" si="3"/>
        <v>15692.56</v>
      </c>
    </row>
    <row r="148" spans="1:8" x14ac:dyDescent="0.2">
      <c r="A148" s="71"/>
      <c r="B148" s="13">
        <v>10</v>
      </c>
      <c r="C148" s="50">
        <v>463930</v>
      </c>
      <c r="D148" s="57" t="s">
        <v>88</v>
      </c>
      <c r="E148" s="15" t="s">
        <v>13</v>
      </c>
      <c r="F148" s="97">
        <v>48</v>
      </c>
      <c r="G148" s="16">
        <v>15</v>
      </c>
      <c r="H148" s="45">
        <f t="shared" si="3"/>
        <v>720</v>
      </c>
    </row>
    <row r="149" spans="1:8" x14ac:dyDescent="0.2">
      <c r="A149" s="71"/>
      <c r="B149" s="13">
        <v>11</v>
      </c>
      <c r="C149" s="50">
        <v>463876</v>
      </c>
      <c r="D149" s="57" t="s">
        <v>89</v>
      </c>
      <c r="E149" s="15" t="s">
        <v>13</v>
      </c>
      <c r="F149" s="97">
        <v>161</v>
      </c>
      <c r="G149" s="16">
        <v>14.7</v>
      </c>
      <c r="H149" s="45">
        <f t="shared" si="3"/>
        <v>2366.6999999999998</v>
      </c>
    </row>
    <row r="150" spans="1:8" x14ac:dyDescent="0.2">
      <c r="A150" s="71"/>
      <c r="B150" s="13">
        <v>12</v>
      </c>
      <c r="C150" s="50">
        <v>282791</v>
      </c>
      <c r="D150" s="57" t="s">
        <v>90</v>
      </c>
      <c r="E150" s="15" t="s">
        <v>13</v>
      </c>
      <c r="F150" s="97">
        <v>136</v>
      </c>
      <c r="G150" s="16">
        <v>15</v>
      </c>
      <c r="H150" s="45">
        <f t="shared" si="3"/>
        <v>2040</v>
      </c>
    </row>
    <row r="151" spans="1:8" x14ac:dyDescent="0.2">
      <c r="A151" s="71"/>
      <c r="B151" s="13">
        <v>13</v>
      </c>
      <c r="C151" s="50">
        <v>463822</v>
      </c>
      <c r="D151" s="57" t="s">
        <v>91</v>
      </c>
      <c r="E151" s="15" t="s">
        <v>13</v>
      </c>
      <c r="F151" s="97">
        <v>472</v>
      </c>
      <c r="G151" s="16">
        <v>11.96</v>
      </c>
      <c r="H151" s="45">
        <f t="shared" si="3"/>
        <v>5645.1200000000008</v>
      </c>
    </row>
    <row r="152" spans="1:8" x14ac:dyDescent="0.2">
      <c r="A152" s="71"/>
      <c r="B152" s="13">
        <v>14</v>
      </c>
      <c r="C152" s="50">
        <v>464377</v>
      </c>
      <c r="D152" s="57" t="s">
        <v>92</v>
      </c>
      <c r="E152" s="15" t="s">
        <v>13</v>
      </c>
      <c r="F152" s="97">
        <v>791</v>
      </c>
      <c r="G152" s="16">
        <v>8.02</v>
      </c>
      <c r="H152" s="45">
        <f t="shared" si="3"/>
        <v>6343.82</v>
      </c>
    </row>
    <row r="153" spans="1:8" x14ac:dyDescent="0.2">
      <c r="A153" s="71"/>
      <c r="B153" s="13">
        <v>15</v>
      </c>
      <c r="C153" s="50">
        <v>464381</v>
      </c>
      <c r="D153" s="57" t="s">
        <v>93</v>
      </c>
      <c r="E153" s="15" t="s">
        <v>13</v>
      </c>
      <c r="F153" s="97">
        <v>20532</v>
      </c>
      <c r="G153" s="16">
        <v>6.16</v>
      </c>
      <c r="H153" s="45">
        <f t="shared" si="3"/>
        <v>126477.12000000001</v>
      </c>
    </row>
    <row r="154" spans="1:8" x14ac:dyDescent="0.2">
      <c r="A154" s="71"/>
      <c r="B154" s="13">
        <v>16</v>
      </c>
      <c r="C154" s="50">
        <v>463753</v>
      </c>
      <c r="D154" s="57" t="s">
        <v>94</v>
      </c>
      <c r="E154" s="15" t="s">
        <v>13</v>
      </c>
      <c r="F154" s="97">
        <v>268</v>
      </c>
      <c r="G154" s="16">
        <v>5.84</v>
      </c>
      <c r="H154" s="45">
        <f t="shared" si="3"/>
        <v>1565.12</v>
      </c>
    </row>
    <row r="155" spans="1:8" x14ac:dyDescent="0.2">
      <c r="A155" s="71"/>
      <c r="B155" s="13">
        <v>17</v>
      </c>
      <c r="C155" s="58">
        <v>463754</v>
      </c>
      <c r="D155" s="18" t="s">
        <v>95</v>
      </c>
      <c r="E155" s="15" t="s">
        <v>13</v>
      </c>
      <c r="F155" s="97">
        <v>4660</v>
      </c>
      <c r="G155" s="16">
        <v>6.01</v>
      </c>
      <c r="H155" s="45">
        <f t="shared" si="3"/>
        <v>28006.6</v>
      </c>
    </row>
    <row r="156" spans="1:8" x14ac:dyDescent="0.2">
      <c r="A156" s="71"/>
      <c r="B156" s="13">
        <v>18</v>
      </c>
      <c r="C156" s="58">
        <v>463767</v>
      </c>
      <c r="D156" s="18" t="s">
        <v>96</v>
      </c>
      <c r="E156" s="15" t="s">
        <v>13</v>
      </c>
      <c r="F156" s="97">
        <v>237</v>
      </c>
      <c r="G156" s="16">
        <v>6</v>
      </c>
      <c r="H156" s="45">
        <f t="shared" si="3"/>
        <v>1422</v>
      </c>
    </row>
    <row r="157" spans="1:8" x14ac:dyDescent="0.2">
      <c r="A157" s="71"/>
      <c r="B157" s="13">
        <v>19</v>
      </c>
      <c r="C157" s="58">
        <v>463781</v>
      </c>
      <c r="D157" s="18" t="s">
        <v>97</v>
      </c>
      <c r="E157" s="15" t="s">
        <v>13</v>
      </c>
      <c r="F157" s="97">
        <v>600</v>
      </c>
      <c r="G157" s="16">
        <v>4.99</v>
      </c>
      <c r="H157" s="45">
        <f t="shared" si="3"/>
        <v>2994</v>
      </c>
    </row>
    <row r="158" spans="1:8" x14ac:dyDescent="0.2">
      <c r="A158" s="71"/>
      <c r="B158" s="13">
        <v>20</v>
      </c>
      <c r="C158" s="58">
        <v>463770</v>
      </c>
      <c r="D158" s="18" t="s">
        <v>98</v>
      </c>
      <c r="E158" s="15" t="s">
        <v>13</v>
      </c>
      <c r="F158" s="97">
        <v>3256</v>
      </c>
      <c r="G158" s="16">
        <v>6</v>
      </c>
      <c r="H158" s="45">
        <f t="shared" si="3"/>
        <v>19536</v>
      </c>
    </row>
    <row r="159" spans="1:8" x14ac:dyDescent="0.2">
      <c r="A159" s="71"/>
      <c r="B159" s="13">
        <v>21</v>
      </c>
      <c r="C159" s="58">
        <v>463778</v>
      </c>
      <c r="D159" s="18" t="s">
        <v>99</v>
      </c>
      <c r="E159" s="15" t="s">
        <v>13</v>
      </c>
      <c r="F159" s="97">
        <v>232</v>
      </c>
      <c r="G159" s="16">
        <v>4.09</v>
      </c>
      <c r="H159" s="45">
        <f t="shared" si="3"/>
        <v>948.88</v>
      </c>
    </row>
    <row r="160" spans="1:8" x14ac:dyDescent="0.2">
      <c r="A160" s="71"/>
      <c r="B160" s="13">
        <v>22</v>
      </c>
      <c r="C160" s="58">
        <v>463789</v>
      </c>
      <c r="D160" s="18" t="s">
        <v>100</v>
      </c>
      <c r="E160" s="15" t="s">
        <v>13</v>
      </c>
      <c r="F160" s="97">
        <v>836</v>
      </c>
      <c r="G160" s="16">
        <v>7.61</v>
      </c>
      <c r="H160" s="45">
        <f t="shared" si="3"/>
        <v>6361.96</v>
      </c>
    </row>
    <row r="161" spans="1:8" x14ac:dyDescent="0.2">
      <c r="A161" s="71"/>
      <c r="B161" s="13">
        <v>23</v>
      </c>
      <c r="C161" s="58">
        <v>464393</v>
      </c>
      <c r="D161" s="18" t="s">
        <v>101</v>
      </c>
      <c r="E161" s="15" t="s">
        <v>13</v>
      </c>
      <c r="F161" s="97">
        <v>5728</v>
      </c>
      <c r="G161" s="16">
        <v>5.65</v>
      </c>
      <c r="H161" s="45">
        <f t="shared" si="3"/>
        <v>32363.200000000001</v>
      </c>
    </row>
    <row r="162" spans="1:8" x14ac:dyDescent="0.2">
      <c r="A162" s="71"/>
      <c r="B162" s="13">
        <v>24</v>
      </c>
      <c r="C162" s="58">
        <v>464400</v>
      </c>
      <c r="D162" s="18" t="s">
        <v>102</v>
      </c>
      <c r="E162" s="15" t="s">
        <v>13</v>
      </c>
      <c r="F162" s="97">
        <v>5466</v>
      </c>
      <c r="G162" s="16">
        <v>10.62</v>
      </c>
      <c r="H162" s="45">
        <f t="shared" si="3"/>
        <v>58048.92</v>
      </c>
    </row>
    <row r="163" spans="1:8" x14ac:dyDescent="0.2">
      <c r="A163" s="71"/>
      <c r="B163" s="13">
        <v>25</v>
      </c>
      <c r="C163" s="58">
        <v>464436</v>
      </c>
      <c r="D163" s="18" t="s">
        <v>103</v>
      </c>
      <c r="E163" s="15" t="s">
        <v>13</v>
      </c>
      <c r="F163" s="97">
        <v>1884</v>
      </c>
      <c r="G163" s="16">
        <v>6.19</v>
      </c>
      <c r="H163" s="45">
        <f t="shared" si="3"/>
        <v>11661.960000000001</v>
      </c>
    </row>
    <row r="164" spans="1:8" x14ac:dyDescent="0.2">
      <c r="A164" s="71"/>
      <c r="B164" s="13">
        <v>26</v>
      </c>
      <c r="C164" s="58">
        <v>234350</v>
      </c>
      <c r="D164" s="18" t="s">
        <v>104</v>
      </c>
      <c r="E164" s="15" t="s">
        <v>105</v>
      </c>
      <c r="F164" s="97">
        <v>4030</v>
      </c>
      <c r="G164" s="16">
        <v>23.1</v>
      </c>
      <c r="H164" s="45">
        <f t="shared" si="3"/>
        <v>93093</v>
      </c>
    </row>
    <row r="165" spans="1:8" x14ac:dyDescent="0.2">
      <c r="A165" s="71"/>
      <c r="B165" s="13">
        <v>27</v>
      </c>
      <c r="C165" s="58">
        <v>463839</v>
      </c>
      <c r="D165" s="18" t="s">
        <v>106</v>
      </c>
      <c r="E165" s="15" t="s">
        <v>13</v>
      </c>
      <c r="F165" s="97">
        <v>900</v>
      </c>
      <c r="G165" s="16">
        <v>4.54</v>
      </c>
      <c r="H165" s="45">
        <f t="shared" si="3"/>
        <v>4086</v>
      </c>
    </row>
    <row r="166" spans="1:8" x14ac:dyDescent="0.2">
      <c r="A166" s="71"/>
      <c r="B166" s="13">
        <v>28</v>
      </c>
      <c r="C166" s="58">
        <v>463829</v>
      </c>
      <c r="D166" s="18" t="s">
        <v>107</v>
      </c>
      <c r="E166" s="15" t="s">
        <v>13</v>
      </c>
      <c r="F166" s="97">
        <v>339</v>
      </c>
      <c r="G166" s="16">
        <v>5.04</v>
      </c>
      <c r="H166" s="45">
        <f t="shared" si="3"/>
        <v>1708.56</v>
      </c>
    </row>
    <row r="167" spans="1:8" x14ac:dyDescent="0.2">
      <c r="A167" s="71"/>
      <c r="B167" s="13">
        <v>29</v>
      </c>
      <c r="C167" s="58">
        <v>463804</v>
      </c>
      <c r="D167" s="18" t="s">
        <v>108</v>
      </c>
      <c r="E167" s="15" t="s">
        <v>13</v>
      </c>
      <c r="F167" s="97">
        <v>10870</v>
      </c>
      <c r="G167" s="16">
        <v>8.65</v>
      </c>
      <c r="H167" s="45">
        <f t="shared" si="3"/>
        <v>94025.5</v>
      </c>
    </row>
    <row r="168" spans="1:8" x14ac:dyDescent="0.2">
      <c r="A168" s="71"/>
      <c r="B168" s="13">
        <v>30</v>
      </c>
      <c r="C168" s="58">
        <v>463809</v>
      </c>
      <c r="D168" s="18" t="s">
        <v>109</v>
      </c>
      <c r="E168" s="15" t="s">
        <v>13</v>
      </c>
      <c r="F168" s="97">
        <v>80</v>
      </c>
      <c r="G168" s="16">
        <v>7.7</v>
      </c>
      <c r="H168" s="45">
        <f t="shared" si="3"/>
        <v>616</v>
      </c>
    </row>
    <row r="169" spans="1:8" x14ac:dyDescent="0.2">
      <c r="A169" s="71"/>
      <c r="B169" s="13">
        <v>31</v>
      </c>
      <c r="C169" s="58">
        <v>463796</v>
      </c>
      <c r="D169" s="18" t="s">
        <v>110</v>
      </c>
      <c r="E169" s="15" t="s">
        <v>13</v>
      </c>
      <c r="F169" s="97">
        <v>678</v>
      </c>
      <c r="G169" s="16">
        <v>5.17</v>
      </c>
      <c r="H169" s="45">
        <f t="shared" si="3"/>
        <v>3505.2599999999998</v>
      </c>
    </row>
    <row r="170" spans="1:8" x14ac:dyDescent="0.2">
      <c r="A170" s="71"/>
      <c r="B170" s="13">
        <v>32</v>
      </c>
      <c r="C170" s="58">
        <v>463807</v>
      </c>
      <c r="D170" s="18" t="s">
        <v>111</v>
      </c>
      <c r="E170" s="15" t="s">
        <v>13</v>
      </c>
      <c r="F170" s="97">
        <v>158</v>
      </c>
      <c r="G170" s="16">
        <v>12</v>
      </c>
      <c r="H170" s="45">
        <f t="shared" si="3"/>
        <v>1896</v>
      </c>
    </row>
    <row r="171" spans="1:8" x14ac:dyDescent="0.2">
      <c r="A171" s="71"/>
      <c r="B171" s="13">
        <v>33</v>
      </c>
      <c r="C171" s="58">
        <v>464418</v>
      </c>
      <c r="D171" s="18" t="s">
        <v>112</v>
      </c>
      <c r="E171" s="15" t="s">
        <v>13</v>
      </c>
      <c r="F171" s="97">
        <v>4296</v>
      </c>
      <c r="G171" s="16">
        <v>4.3499999999999996</v>
      </c>
      <c r="H171" s="45">
        <f t="shared" si="3"/>
        <v>18687.599999999999</v>
      </c>
    </row>
    <row r="172" spans="1:8" x14ac:dyDescent="0.2">
      <c r="A172" s="71"/>
      <c r="B172" s="13">
        <v>34</v>
      </c>
      <c r="C172" s="58">
        <v>464370</v>
      </c>
      <c r="D172" s="18" t="s">
        <v>113</v>
      </c>
      <c r="E172" s="15" t="s">
        <v>13</v>
      </c>
      <c r="F172" s="97">
        <v>1599</v>
      </c>
      <c r="G172" s="16">
        <v>6.36</v>
      </c>
      <c r="H172" s="45">
        <f t="shared" si="3"/>
        <v>10169.640000000001</v>
      </c>
    </row>
    <row r="173" spans="1:8" x14ac:dyDescent="0.2">
      <c r="A173" s="71"/>
      <c r="B173" s="13">
        <v>35</v>
      </c>
      <c r="C173" s="58">
        <v>464404</v>
      </c>
      <c r="D173" s="18" t="s">
        <v>114</v>
      </c>
      <c r="E173" s="15" t="s">
        <v>13</v>
      </c>
      <c r="F173" s="97">
        <v>4296</v>
      </c>
      <c r="G173" s="16">
        <v>7.47</v>
      </c>
      <c r="H173" s="45">
        <f t="shared" si="3"/>
        <v>32091.119999999999</v>
      </c>
    </row>
    <row r="174" spans="1:8" x14ac:dyDescent="0.2">
      <c r="A174" s="71"/>
      <c r="B174" s="13">
        <v>36</v>
      </c>
      <c r="C174" s="58">
        <v>464392</v>
      </c>
      <c r="D174" s="18" t="s">
        <v>115</v>
      </c>
      <c r="E174" s="15" t="s">
        <v>13</v>
      </c>
      <c r="F174" s="97">
        <v>4296</v>
      </c>
      <c r="G174" s="16">
        <v>7.82</v>
      </c>
      <c r="H174" s="45">
        <f t="shared" si="3"/>
        <v>33594.720000000001</v>
      </c>
    </row>
    <row r="175" spans="1:8" x14ac:dyDescent="0.2">
      <c r="A175" s="71"/>
      <c r="B175" s="13">
        <v>37</v>
      </c>
      <c r="C175" s="58">
        <v>464374</v>
      </c>
      <c r="D175" s="18" t="s">
        <v>116</v>
      </c>
      <c r="E175" s="15" t="s">
        <v>13</v>
      </c>
      <c r="F175" s="97">
        <v>2112</v>
      </c>
      <c r="G175" s="16">
        <v>7.8</v>
      </c>
      <c r="H175" s="45">
        <f t="shared" si="3"/>
        <v>16473.599999999999</v>
      </c>
    </row>
    <row r="176" spans="1:8" x14ac:dyDescent="0.2">
      <c r="A176" s="71"/>
      <c r="B176" s="13">
        <v>38</v>
      </c>
      <c r="C176" s="58">
        <v>463797</v>
      </c>
      <c r="D176" s="18" t="s">
        <v>117</v>
      </c>
      <c r="E176" s="15" t="s">
        <v>13</v>
      </c>
      <c r="F176" s="97">
        <v>2284</v>
      </c>
      <c r="G176" s="16">
        <v>8.61</v>
      </c>
      <c r="H176" s="45">
        <f>F176*G176</f>
        <v>19665.239999999998</v>
      </c>
    </row>
    <row r="177" spans="1:8" x14ac:dyDescent="0.2">
      <c r="A177" s="71"/>
      <c r="B177" s="13">
        <v>39</v>
      </c>
      <c r="C177" s="58">
        <v>464398</v>
      </c>
      <c r="D177" s="18" t="s">
        <v>118</v>
      </c>
      <c r="E177" s="15" t="s">
        <v>13</v>
      </c>
      <c r="F177" s="97">
        <v>228</v>
      </c>
      <c r="G177" s="16">
        <v>6.82</v>
      </c>
      <c r="H177" s="45">
        <f t="shared" si="3"/>
        <v>1554.96</v>
      </c>
    </row>
    <row r="178" spans="1:8" ht="13.5" thickBot="1" x14ac:dyDescent="0.25">
      <c r="A178" s="71"/>
      <c r="B178" s="13">
        <v>40</v>
      </c>
      <c r="C178" s="58">
        <v>463898</v>
      </c>
      <c r="D178" s="18" t="s">
        <v>119</v>
      </c>
      <c r="E178" s="15" t="s">
        <v>13</v>
      </c>
      <c r="F178" s="97">
        <v>128</v>
      </c>
      <c r="G178" s="64">
        <v>12.9</v>
      </c>
      <c r="H178" s="47">
        <f t="shared" si="3"/>
        <v>1651.2</v>
      </c>
    </row>
    <row r="179" spans="1:8" ht="13.5" thickBot="1" x14ac:dyDescent="0.25">
      <c r="A179" s="79" t="s">
        <v>46</v>
      </c>
      <c r="B179" s="80"/>
      <c r="C179" s="80"/>
      <c r="D179" s="80"/>
      <c r="E179" s="80"/>
      <c r="F179" s="80"/>
      <c r="G179" s="81"/>
      <c r="H179" s="20">
        <f>SUM(H139:H178)</f>
        <v>683820.41999999993</v>
      </c>
    </row>
    <row r="180" spans="1:8" ht="13.5" thickBot="1" x14ac:dyDescent="0.25"/>
    <row r="181" spans="1:8" ht="13.5" thickBot="1" x14ac:dyDescent="0.25">
      <c r="A181" s="5" t="s">
        <v>53</v>
      </c>
      <c r="B181" s="6"/>
      <c r="C181" s="6"/>
      <c r="D181" s="6"/>
      <c r="E181" s="6"/>
      <c r="F181" s="6"/>
      <c r="G181" s="7"/>
      <c r="H181" s="8"/>
    </row>
    <row r="182" spans="1:8" ht="13.5" thickBot="1" x14ac:dyDescent="0.25">
      <c r="A182" s="9" t="s">
        <v>3</v>
      </c>
      <c r="B182" s="10" t="s">
        <v>4</v>
      </c>
      <c r="C182" s="41" t="s">
        <v>78</v>
      </c>
      <c r="D182" s="10" t="s">
        <v>6</v>
      </c>
      <c r="E182" s="10" t="s">
        <v>7</v>
      </c>
      <c r="F182" s="10" t="s">
        <v>8</v>
      </c>
      <c r="G182" s="11" t="s">
        <v>9</v>
      </c>
      <c r="H182" s="12" t="s">
        <v>10</v>
      </c>
    </row>
    <row r="183" spans="1:8" x14ac:dyDescent="0.2">
      <c r="A183" s="70" t="s">
        <v>54</v>
      </c>
      <c r="B183" s="13">
        <v>1</v>
      </c>
      <c r="C183" s="51">
        <v>463746</v>
      </c>
      <c r="D183" s="56" t="s">
        <v>79</v>
      </c>
      <c r="E183" s="15" t="s">
        <v>13</v>
      </c>
      <c r="F183" s="96">
        <v>3328</v>
      </c>
      <c r="G183" s="16">
        <v>5.23</v>
      </c>
      <c r="H183" s="22">
        <f>F183*G183</f>
        <v>17405.440000000002</v>
      </c>
    </row>
    <row r="184" spans="1:8" x14ac:dyDescent="0.2">
      <c r="A184" s="71"/>
      <c r="B184" s="13">
        <v>2</v>
      </c>
      <c r="C184" s="50">
        <v>467575</v>
      </c>
      <c r="D184" s="56" t="s">
        <v>80</v>
      </c>
      <c r="E184" s="15" t="s">
        <v>13</v>
      </c>
      <c r="F184" s="97">
        <v>280</v>
      </c>
      <c r="G184" s="16">
        <v>9.99</v>
      </c>
      <c r="H184" s="23">
        <f t="shared" ref="H184:H222" si="4">F184*G184</f>
        <v>2797.2000000000003</v>
      </c>
    </row>
    <row r="185" spans="1:8" x14ac:dyDescent="0.2">
      <c r="A185" s="71"/>
      <c r="B185" s="13">
        <v>3</v>
      </c>
      <c r="C185" s="50">
        <v>463831</v>
      </c>
      <c r="D185" s="57" t="s">
        <v>81</v>
      </c>
      <c r="E185" s="15" t="s">
        <v>13</v>
      </c>
      <c r="F185" s="97">
        <v>280</v>
      </c>
      <c r="G185" s="16">
        <v>9.5</v>
      </c>
      <c r="H185" s="23">
        <f t="shared" si="4"/>
        <v>2660</v>
      </c>
    </row>
    <row r="186" spans="1:8" x14ac:dyDescent="0.2">
      <c r="A186" s="71"/>
      <c r="B186" s="13">
        <v>4</v>
      </c>
      <c r="C186" s="50">
        <v>463818</v>
      </c>
      <c r="D186" s="57" t="s">
        <v>82</v>
      </c>
      <c r="E186" s="15" t="s">
        <v>13</v>
      </c>
      <c r="F186" s="97">
        <v>280</v>
      </c>
      <c r="G186" s="16">
        <v>5.51</v>
      </c>
      <c r="H186" s="23">
        <f t="shared" si="4"/>
        <v>1542.8</v>
      </c>
    </row>
    <row r="187" spans="1:8" x14ac:dyDescent="0.2">
      <c r="A187" s="71"/>
      <c r="B187" s="13">
        <v>5</v>
      </c>
      <c r="C187" s="50">
        <v>463824</v>
      </c>
      <c r="D187" s="57" t="s">
        <v>83</v>
      </c>
      <c r="E187" s="15" t="s">
        <v>13</v>
      </c>
      <c r="F187" s="97">
        <v>280</v>
      </c>
      <c r="G187" s="16">
        <v>12</v>
      </c>
      <c r="H187" s="23">
        <f t="shared" si="4"/>
        <v>3360</v>
      </c>
    </row>
    <row r="188" spans="1:8" x14ac:dyDescent="0.2">
      <c r="A188" s="71"/>
      <c r="B188" s="13">
        <v>6</v>
      </c>
      <c r="C188" s="50">
        <v>463749</v>
      </c>
      <c r="D188" s="57" t="s">
        <v>84</v>
      </c>
      <c r="E188" s="15" t="s">
        <v>13</v>
      </c>
      <c r="F188" s="97">
        <v>498</v>
      </c>
      <c r="G188" s="16">
        <v>4.99</v>
      </c>
      <c r="H188" s="23">
        <f t="shared" si="4"/>
        <v>2485.02</v>
      </c>
    </row>
    <row r="189" spans="1:8" x14ac:dyDescent="0.2">
      <c r="A189" s="71"/>
      <c r="B189" s="13">
        <v>7</v>
      </c>
      <c r="C189" s="50">
        <v>463795</v>
      </c>
      <c r="D189" s="57" t="s">
        <v>85</v>
      </c>
      <c r="E189" s="15" t="s">
        <v>13</v>
      </c>
      <c r="F189" s="97">
        <v>2928</v>
      </c>
      <c r="G189" s="16">
        <v>5.28</v>
      </c>
      <c r="H189" s="23">
        <f t="shared" si="4"/>
        <v>15459.84</v>
      </c>
    </row>
    <row r="190" spans="1:8" x14ac:dyDescent="0.2">
      <c r="A190" s="71"/>
      <c r="B190" s="13">
        <v>8</v>
      </c>
      <c r="C190" s="50">
        <v>463832</v>
      </c>
      <c r="D190" s="57" t="s">
        <v>86</v>
      </c>
      <c r="E190" s="15" t="s">
        <v>13</v>
      </c>
      <c r="F190" s="97">
        <v>616</v>
      </c>
      <c r="G190" s="16">
        <v>10.68</v>
      </c>
      <c r="H190" s="23">
        <f t="shared" si="4"/>
        <v>6578.88</v>
      </c>
    </row>
    <row r="191" spans="1:8" x14ac:dyDescent="0.2">
      <c r="A191" s="71"/>
      <c r="B191" s="13">
        <v>9</v>
      </c>
      <c r="C191" s="50">
        <v>461695</v>
      </c>
      <c r="D191" s="57" t="s">
        <v>87</v>
      </c>
      <c r="E191" s="15" t="s">
        <v>13</v>
      </c>
      <c r="F191" s="97">
        <v>1112</v>
      </c>
      <c r="G191" s="16">
        <v>25.33</v>
      </c>
      <c r="H191" s="23">
        <f>F191*G191</f>
        <v>28166.959999999999</v>
      </c>
    </row>
    <row r="192" spans="1:8" x14ac:dyDescent="0.2">
      <c r="A192" s="71"/>
      <c r="B192" s="13">
        <v>10</v>
      </c>
      <c r="C192" s="50">
        <v>463930</v>
      </c>
      <c r="D192" s="57" t="s">
        <v>88</v>
      </c>
      <c r="E192" s="15" t="s">
        <v>13</v>
      </c>
      <c r="F192" s="97">
        <v>96</v>
      </c>
      <c r="G192" s="16">
        <v>15.2</v>
      </c>
      <c r="H192" s="23">
        <f t="shared" si="4"/>
        <v>1459.1999999999998</v>
      </c>
    </row>
    <row r="193" spans="1:8" x14ac:dyDescent="0.2">
      <c r="A193" s="71"/>
      <c r="B193" s="13">
        <v>11</v>
      </c>
      <c r="C193" s="50">
        <v>463876</v>
      </c>
      <c r="D193" s="57" t="s">
        <v>89</v>
      </c>
      <c r="E193" s="15" t="s">
        <v>13</v>
      </c>
      <c r="F193" s="97">
        <v>315</v>
      </c>
      <c r="G193" s="16">
        <v>15</v>
      </c>
      <c r="H193" s="23">
        <f t="shared" si="4"/>
        <v>4725</v>
      </c>
    </row>
    <row r="194" spans="1:8" x14ac:dyDescent="0.2">
      <c r="A194" s="71"/>
      <c r="B194" s="13">
        <v>12</v>
      </c>
      <c r="C194" s="50">
        <v>282791</v>
      </c>
      <c r="D194" s="57" t="s">
        <v>90</v>
      </c>
      <c r="E194" s="15" t="s">
        <v>13</v>
      </c>
      <c r="F194" s="97">
        <v>224</v>
      </c>
      <c r="G194" s="16">
        <v>15.2</v>
      </c>
      <c r="H194" s="23">
        <f t="shared" si="4"/>
        <v>3404.7999999999997</v>
      </c>
    </row>
    <row r="195" spans="1:8" x14ac:dyDescent="0.2">
      <c r="A195" s="71"/>
      <c r="B195" s="13">
        <v>13</v>
      </c>
      <c r="C195" s="50">
        <v>463822</v>
      </c>
      <c r="D195" s="57" t="s">
        <v>91</v>
      </c>
      <c r="E195" s="15" t="s">
        <v>13</v>
      </c>
      <c r="F195" s="97">
        <v>880</v>
      </c>
      <c r="G195" s="16">
        <v>11.73</v>
      </c>
      <c r="H195" s="23">
        <f t="shared" si="4"/>
        <v>10322.4</v>
      </c>
    </row>
    <row r="196" spans="1:8" x14ac:dyDescent="0.2">
      <c r="A196" s="71"/>
      <c r="B196" s="13">
        <v>14</v>
      </c>
      <c r="C196" s="50">
        <v>464377</v>
      </c>
      <c r="D196" s="57" t="s">
        <v>92</v>
      </c>
      <c r="E196" s="15" t="s">
        <v>13</v>
      </c>
      <c r="F196" s="97">
        <v>1456</v>
      </c>
      <c r="G196" s="16">
        <v>8.0500000000000007</v>
      </c>
      <c r="H196" s="23">
        <f t="shared" si="4"/>
        <v>11720.800000000001</v>
      </c>
    </row>
    <row r="197" spans="1:8" x14ac:dyDescent="0.2">
      <c r="A197" s="71"/>
      <c r="B197" s="13">
        <v>15</v>
      </c>
      <c r="C197" s="50">
        <v>464381</v>
      </c>
      <c r="D197" s="57" t="s">
        <v>93</v>
      </c>
      <c r="E197" s="15" t="s">
        <v>13</v>
      </c>
      <c r="F197" s="97">
        <v>37308</v>
      </c>
      <c r="G197" s="16">
        <v>6.19</v>
      </c>
      <c r="H197" s="23">
        <f t="shared" si="4"/>
        <v>230936.52000000002</v>
      </c>
    </row>
    <row r="198" spans="1:8" x14ac:dyDescent="0.2">
      <c r="A198" s="71"/>
      <c r="B198" s="13">
        <v>16</v>
      </c>
      <c r="C198" s="50">
        <v>463753</v>
      </c>
      <c r="D198" s="57" t="s">
        <v>94</v>
      </c>
      <c r="E198" s="15" t="s">
        <v>13</v>
      </c>
      <c r="F198" s="97">
        <v>484</v>
      </c>
      <c r="G198" s="16">
        <v>5.87</v>
      </c>
      <c r="H198" s="23">
        <f t="shared" si="4"/>
        <v>2841.08</v>
      </c>
    </row>
    <row r="199" spans="1:8" x14ac:dyDescent="0.2">
      <c r="A199" s="71"/>
      <c r="B199" s="13">
        <v>17</v>
      </c>
      <c r="C199" s="58">
        <v>463754</v>
      </c>
      <c r="D199" s="18" t="s">
        <v>95</v>
      </c>
      <c r="E199" s="15" t="s">
        <v>13</v>
      </c>
      <c r="F199" s="97">
        <v>8760</v>
      </c>
      <c r="G199" s="16">
        <v>5.94</v>
      </c>
      <c r="H199" s="23">
        <f t="shared" si="4"/>
        <v>52034.400000000001</v>
      </c>
    </row>
    <row r="200" spans="1:8" x14ac:dyDescent="0.2">
      <c r="A200" s="71"/>
      <c r="B200" s="13">
        <v>18</v>
      </c>
      <c r="C200" s="58">
        <v>463767</v>
      </c>
      <c r="D200" s="18" t="s">
        <v>96</v>
      </c>
      <c r="E200" s="15" t="s">
        <v>13</v>
      </c>
      <c r="F200" s="97">
        <v>420</v>
      </c>
      <c r="G200" s="16">
        <v>6.01</v>
      </c>
      <c r="H200" s="23">
        <f t="shared" si="4"/>
        <v>2524.1999999999998</v>
      </c>
    </row>
    <row r="201" spans="1:8" x14ac:dyDescent="0.2">
      <c r="A201" s="71"/>
      <c r="B201" s="13">
        <v>19</v>
      </c>
      <c r="C201" s="58">
        <v>463781</v>
      </c>
      <c r="D201" s="18" t="s">
        <v>97</v>
      </c>
      <c r="E201" s="15" t="s">
        <v>13</v>
      </c>
      <c r="F201" s="97">
        <v>1130</v>
      </c>
      <c r="G201" s="16">
        <v>4.99</v>
      </c>
      <c r="H201" s="23">
        <f t="shared" si="4"/>
        <v>5638.7</v>
      </c>
    </row>
    <row r="202" spans="1:8" x14ac:dyDescent="0.2">
      <c r="A202" s="71"/>
      <c r="B202" s="13">
        <v>20</v>
      </c>
      <c r="C202" s="58">
        <v>463770</v>
      </c>
      <c r="D202" s="18" t="s">
        <v>98</v>
      </c>
      <c r="E202" s="15" t="s">
        <v>13</v>
      </c>
      <c r="F202" s="97">
        <v>6127</v>
      </c>
      <c r="G202" s="16">
        <v>6.03</v>
      </c>
      <c r="H202" s="23">
        <f t="shared" si="4"/>
        <v>36945.810000000005</v>
      </c>
    </row>
    <row r="203" spans="1:8" x14ac:dyDescent="0.2">
      <c r="A203" s="71"/>
      <c r="B203" s="13">
        <v>21</v>
      </c>
      <c r="C203" s="58">
        <v>463778</v>
      </c>
      <c r="D203" s="18" t="s">
        <v>99</v>
      </c>
      <c r="E203" s="15" t="s">
        <v>13</v>
      </c>
      <c r="F203" s="97">
        <v>416</v>
      </c>
      <c r="G203" s="16">
        <v>4.05</v>
      </c>
      <c r="H203" s="23">
        <f t="shared" si="4"/>
        <v>1684.8</v>
      </c>
    </row>
    <row r="204" spans="1:8" x14ac:dyDescent="0.2">
      <c r="A204" s="71"/>
      <c r="B204" s="13">
        <v>22</v>
      </c>
      <c r="C204" s="58">
        <v>463789</v>
      </c>
      <c r="D204" s="18" t="s">
        <v>100</v>
      </c>
      <c r="E204" s="15" t="s">
        <v>13</v>
      </c>
      <c r="F204" s="97">
        <v>1532</v>
      </c>
      <c r="G204" s="16">
        <v>7.64</v>
      </c>
      <c r="H204" s="23">
        <f t="shared" si="4"/>
        <v>11704.48</v>
      </c>
    </row>
    <row r="205" spans="1:8" x14ac:dyDescent="0.2">
      <c r="A205" s="71"/>
      <c r="B205" s="13">
        <v>23</v>
      </c>
      <c r="C205" s="58">
        <v>464393</v>
      </c>
      <c r="D205" s="18" t="s">
        <v>101</v>
      </c>
      <c r="E205" s="15" t="s">
        <v>13</v>
      </c>
      <c r="F205" s="97">
        <v>10632</v>
      </c>
      <c r="G205" s="16">
        <v>5.68</v>
      </c>
      <c r="H205" s="23">
        <f>F205*G205</f>
        <v>60389.759999999995</v>
      </c>
    </row>
    <row r="206" spans="1:8" x14ac:dyDescent="0.2">
      <c r="A206" s="71"/>
      <c r="B206" s="13">
        <v>24</v>
      </c>
      <c r="C206" s="58">
        <v>464400</v>
      </c>
      <c r="D206" s="18" t="s">
        <v>102</v>
      </c>
      <c r="E206" s="15" t="s">
        <v>13</v>
      </c>
      <c r="F206" s="97">
        <v>9948</v>
      </c>
      <c r="G206" s="16">
        <v>10.74</v>
      </c>
      <c r="H206" s="23">
        <f t="shared" si="4"/>
        <v>106841.52</v>
      </c>
    </row>
    <row r="207" spans="1:8" x14ac:dyDescent="0.2">
      <c r="A207" s="71"/>
      <c r="B207" s="13">
        <v>25</v>
      </c>
      <c r="C207" s="58">
        <v>464436</v>
      </c>
      <c r="D207" s="18" t="s">
        <v>103</v>
      </c>
      <c r="E207" s="15" t="s">
        <v>13</v>
      </c>
      <c r="F207" s="97">
        <v>3588</v>
      </c>
      <c r="G207" s="16">
        <v>6.19</v>
      </c>
      <c r="H207" s="23">
        <f t="shared" si="4"/>
        <v>22209.72</v>
      </c>
    </row>
    <row r="208" spans="1:8" x14ac:dyDescent="0.2">
      <c r="A208" s="71"/>
      <c r="B208" s="13">
        <v>26</v>
      </c>
      <c r="C208" s="58">
        <v>234350</v>
      </c>
      <c r="D208" s="18" t="s">
        <v>104</v>
      </c>
      <c r="E208" s="15" t="s">
        <v>105</v>
      </c>
      <c r="F208" s="97">
        <v>7870</v>
      </c>
      <c r="G208" s="16">
        <v>23.1</v>
      </c>
      <c r="H208" s="23">
        <f t="shared" si="4"/>
        <v>181797</v>
      </c>
    </row>
    <row r="209" spans="1:8" x14ac:dyDescent="0.2">
      <c r="A209" s="71"/>
      <c r="B209" s="13">
        <v>27</v>
      </c>
      <c r="C209" s="58">
        <v>463839</v>
      </c>
      <c r="D209" s="18" t="s">
        <v>106</v>
      </c>
      <c r="E209" s="15" t="s">
        <v>13</v>
      </c>
      <c r="F209" s="97">
        <v>1680</v>
      </c>
      <c r="G209" s="16">
        <v>4.54</v>
      </c>
      <c r="H209" s="23">
        <f t="shared" si="4"/>
        <v>7627.2</v>
      </c>
    </row>
    <row r="210" spans="1:8" x14ac:dyDescent="0.2">
      <c r="A210" s="71"/>
      <c r="B210" s="13">
        <v>28</v>
      </c>
      <c r="C210" s="58">
        <v>463829</v>
      </c>
      <c r="D210" s="18" t="s">
        <v>107</v>
      </c>
      <c r="E210" s="15" t="s">
        <v>13</v>
      </c>
      <c r="F210" s="97">
        <v>621</v>
      </c>
      <c r="G210" s="16">
        <v>5.04</v>
      </c>
      <c r="H210" s="23">
        <f t="shared" si="4"/>
        <v>3129.84</v>
      </c>
    </row>
    <row r="211" spans="1:8" x14ac:dyDescent="0.2">
      <c r="A211" s="71"/>
      <c r="B211" s="13">
        <v>29</v>
      </c>
      <c r="C211" s="58">
        <v>463804</v>
      </c>
      <c r="D211" s="18" t="s">
        <v>108</v>
      </c>
      <c r="E211" s="15" t="s">
        <v>13</v>
      </c>
      <c r="F211" s="97">
        <v>19920</v>
      </c>
      <c r="G211" s="16">
        <v>8.64</v>
      </c>
      <c r="H211" s="23">
        <f t="shared" si="4"/>
        <v>172108.80000000002</v>
      </c>
    </row>
    <row r="212" spans="1:8" x14ac:dyDescent="0.2">
      <c r="A212" s="71"/>
      <c r="B212" s="13">
        <v>30</v>
      </c>
      <c r="C212" s="58">
        <v>463809</v>
      </c>
      <c r="D212" s="18" t="s">
        <v>109</v>
      </c>
      <c r="E212" s="15" t="s">
        <v>13</v>
      </c>
      <c r="F212" s="97">
        <v>160</v>
      </c>
      <c r="G212" s="16">
        <v>7.72</v>
      </c>
      <c r="H212" s="23">
        <f t="shared" si="4"/>
        <v>1235.2</v>
      </c>
    </row>
    <row r="213" spans="1:8" x14ac:dyDescent="0.2">
      <c r="A213" s="71"/>
      <c r="B213" s="13">
        <v>31</v>
      </c>
      <c r="C213" s="58">
        <v>463796</v>
      </c>
      <c r="D213" s="18" t="s">
        <v>110</v>
      </c>
      <c r="E213" s="15" t="s">
        <v>13</v>
      </c>
      <c r="F213" s="97">
        <v>1248</v>
      </c>
      <c r="G213" s="16">
        <v>5.16</v>
      </c>
      <c r="H213" s="23">
        <f t="shared" si="4"/>
        <v>6439.68</v>
      </c>
    </row>
    <row r="214" spans="1:8" x14ac:dyDescent="0.2">
      <c r="A214" s="71"/>
      <c r="B214" s="13">
        <v>32</v>
      </c>
      <c r="C214" s="58">
        <v>463807</v>
      </c>
      <c r="D214" s="18" t="s">
        <v>111</v>
      </c>
      <c r="E214" s="15" t="s">
        <v>13</v>
      </c>
      <c r="F214" s="97">
        <v>278</v>
      </c>
      <c r="G214" s="16">
        <v>12</v>
      </c>
      <c r="H214" s="23">
        <f t="shared" si="4"/>
        <v>3336</v>
      </c>
    </row>
    <row r="215" spans="1:8" x14ac:dyDescent="0.2">
      <c r="A215" s="71"/>
      <c r="B215" s="13">
        <v>33</v>
      </c>
      <c r="C215" s="58">
        <v>464418</v>
      </c>
      <c r="D215" s="18" t="s">
        <v>112</v>
      </c>
      <c r="E215" s="15" t="s">
        <v>13</v>
      </c>
      <c r="F215" s="97">
        <v>7980</v>
      </c>
      <c r="G215" s="16">
        <v>4.3499999999999996</v>
      </c>
      <c r="H215" s="23">
        <f t="shared" si="4"/>
        <v>34713</v>
      </c>
    </row>
    <row r="216" spans="1:8" x14ac:dyDescent="0.2">
      <c r="A216" s="71"/>
      <c r="B216" s="13">
        <v>34</v>
      </c>
      <c r="C216" s="58">
        <v>464370</v>
      </c>
      <c r="D216" s="18" t="s">
        <v>113</v>
      </c>
      <c r="E216" s="15" t="s">
        <v>13</v>
      </c>
      <c r="F216" s="97">
        <v>2889</v>
      </c>
      <c r="G216" s="16">
        <v>6.8</v>
      </c>
      <c r="H216" s="23">
        <f t="shared" si="4"/>
        <v>19645.2</v>
      </c>
    </row>
    <row r="217" spans="1:8" x14ac:dyDescent="0.2">
      <c r="A217" s="71"/>
      <c r="B217" s="13">
        <v>35</v>
      </c>
      <c r="C217" s="58">
        <v>464404</v>
      </c>
      <c r="D217" s="18" t="s">
        <v>114</v>
      </c>
      <c r="E217" s="15" t="s">
        <v>13</v>
      </c>
      <c r="F217" s="97">
        <v>7980</v>
      </c>
      <c r="G217" s="16">
        <v>7.62</v>
      </c>
      <c r="H217" s="23">
        <f t="shared" si="4"/>
        <v>60807.6</v>
      </c>
    </row>
    <row r="218" spans="1:8" x14ac:dyDescent="0.2">
      <c r="A218" s="71"/>
      <c r="B218" s="13">
        <v>36</v>
      </c>
      <c r="C218" s="58">
        <v>464392</v>
      </c>
      <c r="D218" s="18" t="s">
        <v>115</v>
      </c>
      <c r="E218" s="15" t="s">
        <v>13</v>
      </c>
      <c r="F218" s="97">
        <v>7980</v>
      </c>
      <c r="G218" s="16">
        <v>7.73</v>
      </c>
      <c r="H218" s="23">
        <f t="shared" si="4"/>
        <v>61685.4</v>
      </c>
    </row>
    <row r="219" spans="1:8" x14ac:dyDescent="0.2">
      <c r="A219" s="71"/>
      <c r="B219" s="13">
        <v>37</v>
      </c>
      <c r="C219" s="58">
        <v>464374</v>
      </c>
      <c r="D219" s="18" t="s">
        <v>116</v>
      </c>
      <c r="E219" s="15" t="s">
        <v>13</v>
      </c>
      <c r="F219" s="97">
        <v>4032</v>
      </c>
      <c r="G219" s="16">
        <v>7.83</v>
      </c>
      <c r="H219" s="23">
        <f t="shared" si="4"/>
        <v>31570.560000000001</v>
      </c>
    </row>
    <row r="220" spans="1:8" x14ac:dyDescent="0.2">
      <c r="A220" s="71"/>
      <c r="B220" s="13">
        <v>38</v>
      </c>
      <c r="C220" s="58">
        <v>463797</v>
      </c>
      <c r="D220" s="18" t="s">
        <v>117</v>
      </c>
      <c r="E220" s="15" t="s">
        <v>13</v>
      </c>
      <c r="F220" s="97">
        <v>4150</v>
      </c>
      <c r="G220" s="16">
        <v>8.61</v>
      </c>
      <c r="H220" s="23">
        <f t="shared" si="4"/>
        <v>35731.5</v>
      </c>
    </row>
    <row r="221" spans="1:8" x14ac:dyDescent="0.2">
      <c r="A221" s="71"/>
      <c r="B221" s="13">
        <v>39</v>
      </c>
      <c r="C221" s="58">
        <v>464398</v>
      </c>
      <c r="D221" s="18" t="s">
        <v>118</v>
      </c>
      <c r="E221" s="15" t="s">
        <v>13</v>
      </c>
      <c r="F221" s="97">
        <v>462</v>
      </c>
      <c r="G221" s="16">
        <v>6.77</v>
      </c>
      <c r="H221" s="23">
        <f t="shared" si="4"/>
        <v>3127.74</v>
      </c>
    </row>
    <row r="222" spans="1:8" ht="13.5" thickBot="1" x14ac:dyDescent="0.25">
      <c r="A222" s="71"/>
      <c r="B222" s="13">
        <v>40</v>
      </c>
      <c r="C222" s="58">
        <v>463898</v>
      </c>
      <c r="D222" s="18" t="s">
        <v>119</v>
      </c>
      <c r="E222" s="15" t="s">
        <v>13</v>
      </c>
      <c r="F222" s="97">
        <v>264</v>
      </c>
      <c r="G222" s="64">
        <v>12.9</v>
      </c>
      <c r="H222" s="23">
        <f t="shared" si="4"/>
        <v>3405.6</v>
      </c>
    </row>
    <row r="223" spans="1:8" ht="13.5" thickBot="1" x14ac:dyDescent="0.25">
      <c r="A223" s="72" t="s">
        <v>46</v>
      </c>
      <c r="B223" s="73"/>
      <c r="C223" s="73"/>
      <c r="D223" s="73"/>
      <c r="E223" s="73"/>
      <c r="F223" s="73"/>
      <c r="G223" s="74"/>
      <c r="H223" s="26">
        <f>SUM(H183:H222)</f>
        <v>1272199.6499999999</v>
      </c>
    </row>
    <row r="224" spans="1:8" ht="13.5" thickBot="1" x14ac:dyDescent="0.25"/>
    <row r="225" spans="1:8" ht="13.5" thickBot="1" x14ac:dyDescent="0.25">
      <c r="A225" s="5" t="s">
        <v>55</v>
      </c>
      <c r="B225" s="6"/>
      <c r="C225" s="6"/>
      <c r="D225" s="6"/>
      <c r="E225" s="6"/>
      <c r="F225" s="6"/>
      <c r="G225" s="7"/>
      <c r="H225" s="8"/>
    </row>
    <row r="226" spans="1:8" ht="13.5" thickBot="1" x14ac:dyDescent="0.25">
      <c r="A226" s="9" t="s">
        <v>3</v>
      </c>
      <c r="B226" s="10" t="s">
        <v>4</v>
      </c>
      <c r="C226" s="41" t="s">
        <v>78</v>
      </c>
      <c r="D226" s="10" t="s">
        <v>6</v>
      </c>
      <c r="E226" s="10" t="s">
        <v>7</v>
      </c>
      <c r="F226" s="10" t="s">
        <v>8</v>
      </c>
      <c r="G226" s="11" t="s">
        <v>9</v>
      </c>
      <c r="H226" s="12" t="s">
        <v>10</v>
      </c>
    </row>
    <row r="227" spans="1:8" x14ac:dyDescent="0.2">
      <c r="A227" s="70" t="s">
        <v>56</v>
      </c>
      <c r="B227" s="13">
        <v>1</v>
      </c>
      <c r="C227" s="51">
        <v>463746</v>
      </c>
      <c r="D227" s="56" t="s">
        <v>79</v>
      </c>
      <c r="E227" s="15" t="s">
        <v>13</v>
      </c>
      <c r="F227" s="96">
        <v>2784</v>
      </c>
      <c r="G227" s="16">
        <v>5.23</v>
      </c>
      <c r="H227" s="22">
        <f>F227*G227</f>
        <v>14560.320000000002</v>
      </c>
    </row>
    <row r="228" spans="1:8" x14ac:dyDescent="0.2">
      <c r="A228" s="71"/>
      <c r="B228" s="13">
        <v>2</v>
      </c>
      <c r="C228" s="50">
        <v>467575</v>
      </c>
      <c r="D228" s="56" t="s">
        <v>80</v>
      </c>
      <c r="E228" s="15" t="s">
        <v>13</v>
      </c>
      <c r="F228" s="97">
        <v>238</v>
      </c>
      <c r="G228" s="16">
        <v>9.99</v>
      </c>
      <c r="H228" s="23">
        <f t="shared" ref="H228:H266" si="5">F228*G228</f>
        <v>2377.62</v>
      </c>
    </row>
    <row r="229" spans="1:8" x14ac:dyDescent="0.2">
      <c r="A229" s="71"/>
      <c r="B229" s="13">
        <v>3</v>
      </c>
      <c r="C229" s="50">
        <v>463831</v>
      </c>
      <c r="D229" s="57" t="s">
        <v>81</v>
      </c>
      <c r="E229" s="15" t="s">
        <v>13</v>
      </c>
      <c r="F229" s="97">
        <v>238</v>
      </c>
      <c r="G229" s="16">
        <v>9.5</v>
      </c>
      <c r="H229" s="23">
        <f t="shared" si="5"/>
        <v>2261</v>
      </c>
    </row>
    <row r="230" spans="1:8" x14ac:dyDescent="0.2">
      <c r="A230" s="71"/>
      <c r="B230" s="13">
        <v>4</v>
      </c>
      <c r="C230" s="50">
        <v>463818</v>
      </c>
      <c r="D230" s="57" t="s">
        <v>82</v>
      </c>
      <c r="E230" s="15" t="s">
        <v>13</v>
      </c>
      <c r="F230" s="97">
        <v>238</v>
      </c>
      <c r="G230" s="16">
        <v>5.59</v>
      </c>
      <c r="H230" s="23">
        <f t="shared" si="5"/>
        <v>1330.42</v>
      </c>
    </row>
    <row r="231" spans="1:8" x14ac:dyDescent="0.2">
      <c r="A231" s="71"/>
      <c r="B231" s="13">
        <v>5</v>
      </c>
      <c r="C231" s="50">
        <v>463824</v>
      </c>
      <c r="D231" s="57" t="s">
        <v>83</v>
      </c>
      <c r="E231" s="15" t="s">
        <v>13</v>
      </c>
      <c r="F231" s="97">
        <v>238</v>
      </c>
      <c r="G231" s="16">
        <v>12</v>
      </c>
      <c r="H231" s="23">
        <f t="shared" si="5"/>
        <v>2856</v>
      </c>
    </row>
    <row r="232" spans="1:8" x14ac:dyDescent="0.2">
      <c r="A232" s="71"/>
      <c r="B232" s="13">
        <v>6</v>
      </c>
      <c r="C232" s="50">
        <v>463749</v>
      </c>
      <c r="D232" s="57" t="s">
        <v>84</v>
      </c>
      <c r="E232" s="15" t="s">
        <v>13</v>
      </c>
      <c r="F232" s="97">
        <v>423</v>
      </c>
      <c r="G232" s="16">
        <v>5.04</v>
      </c>
      <c r="H232" s="23">
        <f t="shared" si="5"/>
        <v>2131.92</v>
      </c>
    </row>
    <row r="233" spans="1:8" x14ac:dyDescent="0.2">
      <c r="A233" s="71"/>
      <c r="B233" s="13">
        <v>7</v>
      </c>
      <c r="C233" s="50">
        <v>463795</v>
      </c>
      <c r="D233" s="57" t="s">
        <v>85</v>
      </c>
      <c r="E233" s="15" t="s">
        <v>13</v>
      </c>
      <c r="F233" s="97">
        <v>2442</v>
      </c>
      <c r="G233" s="16">
        <v>5.44</v>
      </c>
      <c r="H233" s="23">
        <f t="shared" si="5"/>
        <v>13284.480000000001</v>
      </c>
    </row>
    <row r="234" spans="1:8" x14ac:dyDescent="0.2">
      <c r="A234" s="71"/>
      <c r="B234" s="13">
        <v>8</v>
      </c>
      <c r="C234" s="50">
        <v>463832</v>
      </c>
      <c r="D234" s="57" t="s">
        <v>86</v>
      </c>
      <c r="E234" s="15" t="s">
        <v>13</v>
      </c>
      <c r="F234" s="97">
        <v>511</v>
      </c>
      <c r="G234" s="16">
        <v>10.68</v>
      </c>
      <c r="H234" s="23">
        <f t="shared" si="5"/>
        <v>5457.48</v>
      </c>
    </row>
    <row r="235" spans="1:8" x14ac:dyDescent="0.2">
      <c r="A235" s="71"/>
      <c r="B235" s="13">
        <v>9</v>
      </c>
      <c r="C235" s="50">
        <v>461695</v>
      </c>
      <c r="D235" s="57" t="s">
        <v>87</v>
      </c>
      <c r="E235" s="15" t="s">
        <v>13</v>
      </c>
      <c r="F235" s="97">
        <v>912</v>
      </c>
      <c r="G235" s="16">
        <v>25.33</v>
      </c>
      <c r="H235" s="23">
        <f t="shared" si="5"/>
        <v>23100.959999999999</v>
      </c>
    </row>
    <row r="236" spans="1:8" x14ac:dyDescent="0.2">
      <c r="A236" s="71"/>
      <c r="B236" s="13">
        <v>10</v>
      </c>
      <c r="C236" s="50">
        <v>463930</v>
      </c>
      <c r="D236" s="57" t="s">
        <v>88</v>
      </c>
      <c r="E236" s="15" t="s">
        <v>13</v>
      </c>
      <c r="F236" s="97">
        <v>144</v>
      </c>
      <c r="G236" s="16">
        <v>15.2</v>
      </c>
      <c r="H236" s="23">
        <f t="shared" si="5"/>
        <v>2188.7999999999997</v>
      </c>
    </row>
    <row r="237" spans="1:8" x14ac:dyDescent="0.2">
      <c r="A237" s="71"/>
      <c r="B237" s="13">
        <v>11</v>
      </c>
      <c r="C237" s="50">
        <v>463876</v>
      </c>
      <c r="D237" s="57" t="s">
        <v>89</v>
      </c>
      <c r="E237" s="15" t="s">
        <v>13</v>
      </c>
      <c r="F237" s="97">
        <v>273</v>
      </c>
      <c r="G237" s="16">
        <v>15</v>
      </c>
      <c r="H237" s="23">
        <f t="shared" si="5"/>
        <v>4095</v>
      </c>
    </row>
    <row r="238" spans="1:8" x14ac:dyDescent="0.2">
      <c r="A238" s="71"/>
      <c r="B238" s="13">
        <v>12</v>
      </c>
      <c r="C238" s="50">
        <v>282791</v>
      </c>
      <c r="D238" s="57" t="s">
        <v>90</v>
      </c>
      <c r="E238" s="15" t="s">
        <v>13</v>
      </c>
      <c r="F238" s="97">
        <v>240</v>
      </c>
      <c r="G238" s="16">
        <v>15.2</v>
      </c>
      <c r="H238" s="23">
        <f t="shared" si="5"/>
        <v>3648</v>
      </c>
    </row>
    <row r="239" spans="1:8" x14ac:dyDescent="0.2">
      <c r="A239" s="71"/>
      <c r="B239" s="13">
        <v>13</v>
      </c>
      <c r="C239" s="50">
        <v>463822</v>
      </c>
      <c r="D239" s="57" t="s">
        <v>91</v>
      </c>
      <c r="E239" s="15" t="s">
        <v>13</v>
      </c>
      <c r="F239" s="97">
        <v>700</v>
      </c>
      <c r="G239" s="16">
        <v>11.73</v>
      </c>
      <c r="H239" s="23">
        <f t="shared" si="5"/>
        <v>8211</v>
      </c>
    </row>
    <row r="240" spans="1:8" x14ac:dyDescent="0.2">
      <c r="A240" s="71"/>
      <c r="B240" s="13">
        <v>14</v>
      </c>
      <c r="C240" s="50">
        <v>464377</v>
      </c>
      <c r="D240" s="57" t="s">
        <v>92</v>
      </c>
      <c r="E240" s="15" t="s">
        <v>13</v>
      </c>
      <c r="F240" s="97">
        <v>1246</v>
      </c>
      <c r="G240" s="16">
        <v>8.0500000000000007</v>
      </c>
      <c r="H240" s="23">
        <f t="shared" si="5"/>
        <v>10030.300000000001</v>
      </c>
    </row>
    <row r="241" spans="1:8" x14ac:dyDescent="0.2">
      <c r="A241" s="71"/>
      <c r="B241" s="13">
        <v>15</v>
      </c>
      <c r="C241" s="50">
        <v>464381</v>
      </c>
      <c r="D241" s="57" t="s">
        <v>93</v>
      </c>
      <c r="E241" s="15" t="s">
        <v>13</v>
      </c>
      <c r="F241" s="97">
        <v>31500</v>
      </c>
      <c r="G241" s="16">
        <v>6.19</v>
      </c>
      <c r="H241" s="23">
        <f>F241*G241</f>
        <v>194985</v>
      </c>
    </row>
    <row r="242" spans="1:8" x14ac:dyDescent="0.2">
      <c r="A242" s="71"/>
      <c r="B242" s="13">
        <v>16</v>
      </c>
      <c r="C242" s="50">
        <v>463753</v>
      </c>
      <c r="D242" s="57" t="s">
        <v>94</v>
      </c>
      <c r="E242" s="15" t="s">
        <v>13</v>
      </c>
      <c r="F242" s="97">
        <v>412</v>
      </c>
      <c r="G242" s="16">
        <v>5.87</v>
      </c>
      <c r="H242" s="23">
        <f t="shared" si="5"/>
        <v>2418.44</v>
      </c>
    </row>
    <row r="243" spans="1:8" x14ac:dyDescent="0.2">
      <c r="A243" s="71"/>
      <c r="B243" s="13">
        <v>17</v>
      </c>
      <c r="C243" s="58">
        <v>463754</v>
      </c>
      <c r="D243" s="18" t="s">
        <v>95</v>
      </c>
      <c r="E243" s="15" t="s">
        <v>13</v>
      </c>
      <c r="F243" s="97">
        <v>7140</v>
      </c>
      <c r="G243" s="16">
        <v>5.88</v>
      </c>
      <c r="H243" s="23">
        <f t="shared" si="5"/>
        <v>41983.199999999997</v>
      </c>
    </row>
    <row r="244" spans="1:8" x14ac:dyDescent="0.2">
      <c r="A244" s="71"/>
      <c r="B244" s="13">
        <v>18</v>
      </c>
      <c r="C244" s="58">
        <v>463767</v>
      </c>
      <c r="D244" s="18" t="s">
        <v>96</v>
      </c>
      <c r="E244" s="15" t="s">
        <v>13</v>
      </c>
      <c r="F244" s="97">
        <v>345</v>
      </c>
      <c r="G244" s="16">
        <v>6.5</v>
      </c>
      <c r="H244" s="23">
        <f t="shared" si="5"/>
        <v>2242.5</v>
      </c>
    </row>
    <row r="245" spans="1:8" x14ac:dyDescent="0.2">
      <c r="A245" s="71"/>
      <c r="B245" s="13">
        <v>19</v>
      </c>
      <c r="C245" s="58">
        <v>463781</v>
      </c>
      <c r="D245" s="18" t="s">
        <v>97</v>
      </c>
      <c r="E245" s="15" t="s">
        <v>13</v>
      </c>
      <c r="F245" s="97">
        <v>950</v>
      </c>
      <c r="G245" s="16">
        <v>4.99</v>
      </c>
      <c r="H245" s="23">
        <f t="shared" si="5"/>
        <v>4740.5</v>
      </c>
    </row>
    <row r="246" spans="1:8" x14ac:dyDescent="0.2">
      <c r="A246" s="71"/>
      <c r="B246" s="13">
        <v>20</v>
      </c>
      <c r="C246" s="58">
        <v>463770</v>
      </c>
      <c r="D246" s="18" t="s">
        <v>98</v>
      </c>
      <c r="E246" s="15" t="s">
        <v>13</v>
      </c>
      <c r="F246" s="97">
        <v>4950</v>
      </c>
      <c r="G246" s="16">
        <v>6.03</v>
      </c>
      <c r="H246" s="23">
        <f t="shared" si="5"/>
        <v>29848.5</v>
      </c>
    </row>
    <row r="247" spans="1:8" x14ac:dyDescent="0.2">
      <c r="A247" s="71"/>
      <c r="B247" s="13">
        <v>21</v>
      </c>
      <c r="C247" s="58">
        <v>463778</v>
      </c>
      <c r="D247" s="18" t="s">
        <v>99</v>
      </c>
      <c r="E247" s="15" t="s">
        <v>13</v>
      </c>
      <c r="F247" s="97">
        <v>352</v>
      </c>
      <c r="G247" s="16">
        <v>4.03</v>
      </c>
      <c r="H247" s="23">
        <f t="shared" si="5"/>
        <v>1418.5600000000002</v>
      </c>
    </row>
    <row r="248" spans="1:8" x14ac:dyDescent="0.2">
      <c r="A248" s="71"/>
      <c r="B248" s="13">
        <v>22</v>
      </c>
      <c r="C248" s="58">
        <v>463789</v>
      </c>
      <c r="D248" s="18" t="s">
        <v>100</v>
      </c>
      <c r="E248" s="15" t="s">
        <v>13</v>
      </c>
      <c r="F248" s="97">
        <v>1284</v>
      </c>
      <c r="G248" s="16">
        <v>7.65</v>
      </c>
      <c r="H248" s="23">
        <f t="shared" si="5"/>
        <v>9822.6</v>
      </c>
    </row>
    <row r="249" spans="1:8" x14ac:dyDescent="0.2">
      <c r="A249" s="71"/>
      <c r="B249" s="13">
        <v>23</v>
      </c>
      <c r="C249" s="58">
        <v>464393</v>
      </c>
      <c r="D249" s="18" t="s">
        <v>101</v>
      </c>
      <c r="E249" s="15" t="s">
        <v>13</v>
      </c>
      <c r="F249" s="97">
        <v>8624</v>
      </c>
      <c r="G249" s="16">
        <v>5.7</v>
      </c>
      <c r="H249" s="23">
        <f t="shared" si="5"/>
        <v>49156.800000000003</v>
      </c>
    </row>
    <row r="250" spans="1:8" x14ac:dyDescent="0.2">
      <c r="A250" s="71"/>
      <c r="B250" s="13">
        <v>24</v>
      </c>
      <c r="C250" s="58">
        <v>464400</v>
      </c>
      <c r="D250" s="18" t="s">
        <v>102</v>
      </c>
      <c r="E250" s="15" t="s">
        <v>13</v>
      </c>
      <c r="F250" s="97">
        <v>8418</v>
      </c>
      <c r="G250" s="16">
        <v>10.91</v>
      </c>
      <c r="H250" s="23">
        <f t="shared" si="5"/>
        <v>91840.38</v>
      </c>
    </row>
    <row r="251" spans="1:8" x14ac:dyDescent="0.2">
      <c r="A251" s="71"/>
      <c r="B251" s="13">
        <v>25</v>
      </c>
      <c r="C251" s="58">
        <v>464436</v>
      </c>
      <c r="D251" s="18" t="s">
        <v>103</v>
      </c>
      <c r="E251" s="15" t="s">
        <v>13</v>
      </c>
      <c r="F251" s="97">
        <v>2892</v>
      </c>
      <c r="G251" s="16">
        <v>6.19</v>
      </c>
      <c r="H251" s="23">
        <f t="shared" si="5"/>
        <v>17901.48</v>
      </c>
    </row>
    <row r="252" spans="1:8" x14ac:dyDescent="0.2">
      <c r="A252" s="71"/>
      <c r="B252" s="13">
        <v>26</v>
      </c>
      <c r="C252" s="58">
        <v>234350</v>
      </c>
      <c r="D252" s="18" t="s">
        <v>104</v>
      </c>
      <c r="E252" s="15" t="s">
        <v>105</v>
      </c>
      <c r="F252" s="97">
        <v>6180</v>
      </c>
      <c r="G252" s="16">
        <v>23.05</v>
      </c>
      <c r="H252" s="23">
        <f t="shared" si="5"/>
        <v>142449</v>
      </c>
    </row>
    <row r="253" spans="1:8" x14ac:dyDescent="0.2">
      <c r="A253" s="71"/>
      <c r="B253" s="13">
        <v>27</v>
      </c>
      <c r="C253" s="58">
        <v>463839</v>
      </c>
      <c r="D253" s="18" t="s">
        <v>106</v>
      </c>
      <c r="E253" s="15" t="s">
        <v>13</v>
      </c>
      <c r="F253" s="97">
        <v>1365</v>
      </c>
      <c r="G253" s="16">
        <v>4.54</v>
      </c>
      <c r="H253" s="23">
        <f t="shared" si="5"/>
        <v>6197.1</v>
      </c>
    </row>
    <row r="254" spans="1:8" x14ac:dyDescent="0.2">
      <c r="A254" s="71"/>
      <c r="B254" s="13">
        <v>28</v>
      </c>
      <c r="C254" s="58">
        <v>463829</v>
      </c>
      <c r="D254" s="18" t="s">
        <v>107</v>
      </c>
      <c r="E254" s="15" t="s">
        <v>13</v>
      </c>
      <c r="F254" s="97">
        <v>534</v>
      </c>
      <c r="G254" s="16">
        <v>5</v>
      </c>
      <c r="H254" s="23">
        <f t="shared" si="5"/>
        <v>2670</v>
      </c>
    </row>
    <row r="255" spans="1:8" x14ac:dyDescent="0.2">
      <c r="A255" s="71"/>
      <c r="B255" s="13">
        <v>29</v>
      </c>
      <c r="C255" s="58">
        <v>463804</v>
      </c>
      <c r="D255" s="18" t="s">
        <v>108</v>
      </c>
      <c r="E255" s="15" t="s">
        <v>13</v>
      </c>
      <c r="F255" s="97">
        <v>16570</v>
      </c>
      <c r="G255" s="16">
        <v>8.64</v>
      </c>
      <c r="H255" s="23">
        <f t="shared" si="5"/>
        <v>143164.80000000002</v>
      </c>
    </row>
    <row r="256" spans="1:8" x14ac:dyDescent="0.2">
      <c r="A256" s="71"/>
      <c r="B256" s="13">
        <v>30</v>
      </c>
      <c r="C256" s="58">
        <v>463809</v>
      </c>
      <c r="D256" s="18" t="s">
        <v>109</v>
      </c>
      <c r="E256" s="15" t="s">
        <v>13</v>
      </c>
      <c r="F256" s="97">
        <v>144</v>
      </c>
      <c r="G256" s="16">
        <v>7.72</v>
      </c>
      <c r="H256" s="23">
        <f t="shared" si="5"/>
        <v>1111.68</v>
      </c>
    </row>
    <row r="257" spans="1:8" x14ac:dyDescent="0.2">
      <c r="A257" s="71"/>
      <c r="B257" s="13">
        <v>31</v>
      </c>
      <c r="C257" s="58">
        <v>463796</v>
      </c>
      <c r="D257" s="18" t="s">
        <v>110</v>
      </c>
      <c r="E257" s="15" t="s">
        <v>13</v>
      </c>
      <c r="F257" s="97">
        <v>1068</v>
      </c>
      <c r="G257" s="16">
        <v>5.16</v>
      </c>
      <c r="H257" s="23">
        <f t="shared" si="5"/>
        <v>5510.88</v>
      </c>
    </row>
    <row r="258" spans="1:8" x14ac:dyDescent="0.2">
      <c r="A258" s="71"/>
      <c r="B258" s="13">
        <v>32</v>
      </c>
      <c r="C258" s="58">
        <v>463807</v>
      </c>
      <c r="D258" s="18" t="s">
        <v>111</v>
      </c>
      <c r="E258" s="15" t="s">
        <v>13</v>
      </c>
      <c r="F258" s="97">
        <v>236</v>
      </c>
      <c r="G258" s="16">
        <v>12</v>
      </c>
      <c r="H258" s="23">
        <f t="shared" si="5"/>
        <v>2832</v>
      </c>
    </row>
    <row r="259" spans="1:8" x14ac:dyDescent="0.2">
      <c r="A259" s="71"/>
      <c r="B259" s="13">
        <v>33</v>
      </c>
      <c r="C259" s="58">
        <v>464418</v>
      </c>
      <c r="D259" s="18" t="s">
        <v>112</v>
      </c>
      <c r="E259" s="15" t="s">
        <v>13</v>
      </c>
      <c r="F259" s="97">
        <v>6468</v>
      </c>
      <c r="G259" s="16">
        <v>4.3499999999999996</v>
      </c>
      <c r="H259" s="23">
        <f t="shared" si="5"/>
        <v>28135.8</v>
      </c>
    </row>
    <row r="260" spans="1:8" x14ac:dyDescent="0.2">
      <c r="A260" s="71"/>
      <c r="B260" s="13">
        <v>34</v>
      </c>
      <c r="C260" s="58">
        <v>464370</v>
      </c>
      <c r="D260" s="18" t="s">
        <v>113</v>
      </c>
      <c r="E260" s="15" t="s">
        <v>13</v>
      </c>
      <c r="F260" s="97">
        <v>2448</v>
      </c>
      <c r="G260" s="16">
        <v>6.8</v>
      </c>
      <c r="H260" s="23">
        <f t="shared" si="5"/>
        <v>16646.399999999998</v>
      </c>
    </row>
    <row r="261" spans="1:8" x14ac:dyDescent="0.2">
      <c r="A261" s="71"/>
      <c r="B261" s="13">
        <v>35</v>
      </c>
      <c r="C261" s="58">
        <v>464404</v>
      </c>
      <c r="D261" s="18" t="s">
        <v>114</v>
      </c>
      <c r="E261" s="15" t="s">
        <v>13</v>
      </c>
      <c r="F261" s="97">
        <v>6468</v>
      </c>
      <c r="G261" s="16">
        <v>7.68</v>
      </c>
      <c r="H261" s="23">
        <f t="shared" si="5"/>
        <v>49674.239999999998</v>
      </c>
    </row>
    <row r="262" spans="1:8" x14ac:dyDescent="0.2">
      <c r="A262" s="71"/>
      <c r="B262" s="13">
        <v>36</v>
      </c>
      <c r="C262" s="58">
        <v>464392</v>
      </c>
      <c r="D262" s="18" t="s">
        <v>115</v>
      </c>
      <c r="E262" s="15" t="s">
        <v>13</v>
      </c>
      <c r="F262" s="97">
        <v>6468</v>
      </c>
      <c r="G262" s="16">
        <v>7.73</v>
      </c>
      <c r="H262" s="23">
        <f t="shared" si="5"/>
        <v>49997.64</v>
      </c>
    </row>
    <row r="263" spans="1:8" x14ac:dyDescent="0.2">
      <c r="A263" s="71"/>
      <c r="B263" s="13">
        <v>37</v>
      </c>
      <c r="C263" s="58">
        <v>464374</v>
      </c>
      <c r="D263" s="18" t="s">
        <v>116</v>
      </c>
      <c r="E263" s="15" t="s">
        <v>13</v>
      </c>
      <c r="F263" s="97">
        <v>3264</v>
      </c>
      <c r="G263" s="16">
        <v>7.83</v>
      </c>
      <c r="H263" s="23">
        <f t="shared" si="5"/>
        <v>25557.119999999999</v>
      </c>
    </row>
    <row r="264" spans="1:8" x14ac:dyDescent="0.2">
      <c r="A264" s="71"/>
      <c r="B264" s="13">
        <v>38</v>
      </c>
      <c r="C264" s="58">
        <v>463797</v>
      </c>
      <c r="D264" s="18" t="s">
        <v>117</v>
      </c>
      <c r="E264" s="15" t="s">
        <v>13</v>
      </c>
      <c r="F264" s="97">
        <v>3498</v>
      </c>
      <c r="G264" s="16">
        <v>8.61</v>
      </c>
      <c r="H264" s="23">
        <f t="shared" si="5"/>
        <v>30117.78</v>
      </c>
    </row>
    <row r="265" spans="1:8" x14ac:dyDescent="0.2">
      <c r="A265" s="71"/>
      <c r="B265" s="13">
        <v>39</v>
      </c>
      <c r="C265" s="58">
        <v>464398</v>
      </c>
      <c r="D265" s="18" t="s">
        <v>118</v>
      </c>
      <c r="E265" s="15" t="s">
        <v>13</v>
      </c>
      <c r="F265" s="97">
        <v>408</v>
      </c>
      <c r="G265" s="16">
        <v>6.77</v>
      </c>
      <c r="H265" s="23">
        <f t="shared" si="5"/>
        <v>2762.16</v>
      </c>
    </row>
    <row r="266" spans="1:8" ht="13.5" thickBot="1" x14ac:dyDescent="0.25">
      <c r="A266" s="71"/>
      <c r="B266" s="13">
        <v>40</v>
      </c>
      <c r="C266" s="58">
        <v>463898</v>
      </c>
      <c r="D266" s="18" t="s">
        <v>119</v>
      </c>
      <c r="E266" s="15" t="s">
        <v>13</v>
      </c>
      <c r="F266" s="97">
        <v>232</v>
      </c>
      <c r="G266" s="64">
        <v>12.9</v>
      </c>
      <c r="H266" s="23">
        <f t="shared" si="5"/>
        <v>2992.8</v>
      </c>
    </row>
    <row r="267" spans="1:8" ht="13.5" thickBot="1" x14ac:dyDescent="0.25">
      <c r="A267" s="67" t="s">
        <v>46</v>
      </c>
      <c r="B267" s="68"/>
      <c r="C267" s="68"/>
      <c r="D267" s="68"/>
      <c r="E267" s="68"/>
      <c r="F267" s="68"/>
      <c r="G267" s="69"/>
      <c r="H267" s="20">
        <f>SUM(H227:H266)</f>
        <v>1051710.6600000001</v>
      </c>
    </row>
    <row r="268" spans="1:8" ht="13.5" thickBot="1" x14ac:dyDescent="0.25"/>
    <row r="269" spans="1:8" ht="13.5" thickBot="1" x14ac:dyDescent="0.25">
      <c r="A269" s="5" t="s">
        <v>57</v>
      </c>
      <c r="B269" s="27"/>
      <c r="C269" s="27"/>
      <c r="D269" s="27"/>
      <c r="E269" s="6"/>
      <c r="F269" s="27"/>
      <c r="G269" s="28"/>
      <c r="H269" s="29"/>
    </row>
    <row r="270" spans="1:8" ht="13.5" thickBot="1" x14ac:dyDescent="0.25">
      <c r="A270" s="9" t="s">
        <v>3</v>
      </c>
      <c r="B270" s="10" t="s">
        <v>4</v>
      </c>
      <c r="C270" s="41" t="s">
        <v>78</v>
      </c>
      <c r="D270" s="10" t="s">
        <v>6</v>
      </c>
      <c r="E270" s="10" t="s">
        <v>7</v>
      </c>
      <c r="F270" s="10" t="s">
        <v>8</v>
      </c>
      <c r="G270" s="11" t="s">
        <v>9</v>
      </c>
      <c r="H270" s="12" t="s">
        <v>10</v>
      </c>
    </row>
    <row r="271" spans="1:8" x14ac:dyDescent="0.2">
      <c r="A271" s="70" t="s">
        <v>58</v>
      </c>
      <c r="B271" s="13">
        <v>1</v>
      </c>
      <c r="C271" s="51">
        <v>463746</v>
      </c>
      <c r="D271" s="56" t="s">
        <v>79</v>
      </c>
      <c r="E271" s="15" t="s">
        <v>13</v>
      </c>
      <c r="F271" s="96">
        <v>3704</v>
      </c>
      <c r="G271" s="16">
        <v>5.23</v>
      </c>
      <c r="H271" s="22">
        <f>F271*G271</f>
        <v>19371.920000000002</v>
      </c>
    </row>
    <row r="272" spans="1:8" x14ac:dyDescent="0.2">
      <c r="A272" s="71"/>
      <c r="B272" s="13">
        <v>2</v>
      </c>
      <c r="C272" s="50">
        <v>467575</v>
      </c>
      <c r="D272" s="56" t="s">
        <v>80</v>
      </c>
      <c r="E272" s="15" t="s">
        <v>13</v>
      </c>
      <c r="F272" s="97">
        <v>324</v>
      </c>
      <c r="G272" s="16">
        <v>10.83</v>
      </c>
      <c r="H272" s="23">
        <f t="shared" ref="H272:H310" si="6">F272*G272</f>
        <v>3508.92</v>
      </c>
    </row>
    <row r="273" spans="1:8" x14ac:dyDescent="0.2">
      <c r="A273" s="71"/>
      <c r="B273" s="13">
        <v>3</v>
      </c>
      <c r="C273" s="50">
        <v>463831</v>
      </c>
      <c r="D273" s="57" t="s">
        <v>81</v>
      </c>
      <c r="E273" s="15" t="s">
        <v>13</v>
      </c>
      <c r="F273" s="97">
        <v>324</v>
      </c>
      <c r="G273" s="16">
        <v>10.14</v>
      </c>
      <c r="H273" s="23">
        <f t="shared" si="6"/>
        <v>3285.36</v>
      </c>
    </row>
    <row r="274" spans="1:8" x14ac:dyDescent="0.2">
      <c r="A274" s="71"/>
      <c r="B274" s="13">
        <v>4</v>
      </c>
      <c r="C274" s="50">
        <v>463818</v>
      </c>
      <c r="D274" s="57" t="s">
        <v>82</v>
      </c>
      <c r="E274" s="15" t="s">
        <v>13</v>
      </c>
      <c r="F274" s="97">
        <v>324</v>
      </c>
      <c r="G274" s="16">
        <v>5.59</v>
      </c>
      <c r="H274" s="23">
        <f t="shared" si="6"/>
        <v>1811.1599999999999</v>
      </c>
    </row>
    <row r="275" spans="1:8" x14ac:dyDescent="0.2">
      <c r="A275" s="71"/>
      <c r="B275" s="13">
        <v>5</v>
      </c>
      <c r="C275" s="50">
        <v>463824</v>
      </c>
      <c r="D275" s="57" t="s">
        <v>83</v>
      </c>
      <c r="E275" s="15" t="s">
        <v>13</v>
      </c>
      <c r="F275" s="97">
        <v>324</v>
      </c>
      <c r="G275" s="16">
        <v>12</v>
      </c>
      <c r="H275" s="23">
        <f t="shared" si="6"/>
        <v>3888</v>
      </c>
    </row>
    <row r="276" spans="1:8" x14ac:dyDescent="0.2">
      <c r="A276" s="71"/>
      <c r="B276" s="13">
        <v>6</v>
      </c>
      <c r="C276" s="50">
        <v>463749</v>
      </c>
      <c r="D276" s="57" t="s">
        <v>84</v>
      </c>
      <c r="E276" s="15" t="s">
        <v>13</v>
      </c>
      <c r="F276" s="97">
        <v>555</v>
      </c>
      <c r="G276" s="16">
        <v>4.96</v>
      </c>
      <c r="H276" s="23">
        <f t="shared" si="6"/>
        <v>2752.8</v>
      </c>
    </row>
    <row r="277" spans="1:8" x14ac:dyDescent="0.2">
      <c r="A277" s="71"/>
      <c r="B277" s="13">
        <v>7</v>
      </c>
      <c r="C277" s="50">
        <v>463795</v>
      </c>
      <c r="D277" s="57" t="s">
        <v>85</v>
      </c>
      <c r="E277" s="15" t="s">
        <v>13</v>
      </c>
      <c r="F277" s="97">
        <v>3222</v>
      </c>
      <c r="G277" s="16">
        <v>5.21</v>
      </c>
      <c r="H277" s="23">
        <f t="shared" si="6"/>
        <v>16786.62</v>
      </c>
    </row>
    <row r="278" spans="1:8" x14ac:dyDescent="0.2">
      <c r="A278" s="71"/>
      <c r="B278" s="13">
        <v>8</v>
      </c>
      <c r="C278" s="50">
        <v>463832</v>
      </c>
      <c r="D278" s="57" t="s">
        <v>86</v>
      </c>
      <c r="E278" s="15" t="s">
        <v>13</v>
      </c>
      <c r="F278" s="97">
        <v>672</v>
      </c>
      <c r="G278" s="16">
        <v>10.61</v>
      </c>
      <c r="H278" s="23">
        <f t="shared" si="6"/>
        <v>7129.92</v>
      </c>
    </row>
    <row r="279" spans="1:8" x14ac:dyDescent="0.2">
      <c r="A279" s="71"/>
      <c r="B279" s="13">
        <v>9</v>
      </c>
      <c r="C279" s="50">
        <v>461695</v>
      </c>
      <c r="D279" s="57" t="s">
        <v>87</v>
      </c>
      <c r="E279" s="15" t="s">
        <v>13</v>
      </c>
      <c r="F279" s="97">
        <v>1296</v>
      </c>
      <c r="G279" s="16">
        <v>24.83</v>
      </c>
      <c r="H279" s="23">
        <f t="shared" si="6"/>
        <v>32179.679999999997</v>
      </c>
    </row>
    <row r="280" spans="1:8" x14ac:dyDescent="0.2">
      <c r="A280" s="71"/>
      <c r="B280" s="13">
        <v>10</v>
      </c>
      <c r="C280" s="50">
        <v>463930</v>
      </c>
      <c r="D280" s="57" t="s">
        <v>88</v>
      </c>
      <c r="E280" s="15" t="s">
        <v>13</v>
      </c>
      <c r="F280" s="97">
        <v>144</v>
      </c>
      <c r="G280" s="16">
        <v>15</v>
      </c>
      <c r="H280" s="23">
        <f t="shared" si="6"/>
        <v>2160</v>
      </c>
    </row>
    <row r="281" spans="1:8" x14ac:dyDescent="0.2">
      <c r="A281" s="71"/>
      <c r="B281" s="13">
        <v>11</v>
      </c>
      <c r="C281" s="50">
        <v>463876</v>
      </c>
      <c r="D281" s="57" t="s">
        <v>89</v>
      </c>
      <c r="E281" s="15" t="s">
        <v>13</v>
      </c>
      <c r="F281" s="97">
        <v>308</v>
      </c>
      <c r="G281" s="16">
        <v>14.7</v>
      </c>
      <c r="H281" s="23">
        <f t="shared" si="6"/>
        <v>4527.5999999999995</v>
      </c>
    </row>
    <row r="282" spans="1:8" x14ac:dyDescent="0.2">
      <c r="A282" s="71"/>
      <c r="B282" s="13">
        <v>12</v>
      </c>
      <c r="C282" s="50">
        <v>282791</v>
      </c>
      <c r="D282" s="57" t="s">
        <v>90</v>
      </c>
      <c r="E282" s="15" t="s">
        <v>13</v>
      </c>
      <c r="F282" s="97">
        <v>304</v>
      </c>
      <c r="G282" s="16">
        <v>15</v>
      </c>
      <c r="H282" s="23">
        <f t="shared" si="6"/>
        <v>4560</v>
      </c>
    </row>
    <row r="283" spans="1:8" x14ac:dyDescent="0.2">
      <c r="A283" s="71"/>
      <c r="B283" s="13">
        <v>13</v>
      </c>
      <c r="C283" s="50">
        <v>463822</v>
      </c>
      <c r="D283" s="57" t="s">
        <v>91</v>
      </c>
      <c r="E283" s="15" t="s">
        <v>13</v>
      </c>
      <c r="F283" s="97">
        <v>920</v>
      </c>
      <c r="G283" s="16">
        <v>11.96</v>
      </c>
      <c r="H283" s="23">
        <f t="shared" si="6"/>
        <v>11003.2</v>
      </c>
    </row>
    <row r="284" spans="1:8" x14ac:dyDescent="0.2">
      <c r="A284" s="71"/>
      <c r="B284" s="13">
        <v>14</v>
      </c>
      <c r="C284" s="50">
        <v>464377</v>
      </c>
      <c r="D284" s="57" t="s">
        <v>92</v>
      </c>
      <c r="E284" s="15" t="s">
        <v>13</v>
      </c>
      <c r="F284" s="97">
        <v>1631</v>
      </c>
      <c r="G284" s="16">
        <v>8.02</v>
      </c>
      <c r="H284" s="23">
        <f t="shared" si="6"/>
        <v>13080.619999999999</v>
      </c>
    </row>
    <row r="285" spans="1:8" x14ac:dyDescent="0.2">
      <c r="A285" s="71"/>
      <c r="B285" s="13">
        <v>15</v>
      </c>
      <c r="C285" s="50">
        <v>464381</v>
      </c>
      <c r="D285" s="57" t="s">
        <v>93</v>
      </c>
      <c r="E285" s="15" t="s">
        <v>13</v>
      </c>
      <c r="F285" s="97">
        <v>41220</v>
      </c>
      <c r="G285" s="16">
        <v>6.16</v>
      </c>
      <c r="H285" s="23">
        <f t="shared" si="6"/>
        <v>253915.2</v>
      </c>
    </row>
    <row r="286" spans="1:8" x14ac:dyDescent="0.2">
      <c r="A286" s="71"/>
      <c r="B286" s="13">
        <v>16</v>
      </c>
      <c r="C286" s="50">
        <v>463753</v>
      </c>
      <c r="D286" s="57" t="s">
        <v>94</v>
      </c>
      <c r="E286" s="15" t="s">
        <v>13</v>
      </c>
      <c r="F286" s="97">
        <v>548</v>
      </c>
      <c r="G286" s="16">
        <v>5.91</v>
      </c>
      <c r="H286" s="23">
        <f t="shared" si="6"/>
        <v>3238.6800000000003</v>
      </c>
    </row>
    <row r="287" spans="1:8" x14ac:dyDescent="0.2">
      <c r="A287" s="71"/>
      <c r="B287" s="13">
        <v>17</v>
      </c>
      <c r="C287" s="58">
        <v>463754</v>
      </c>
      <c r="D287" s="18" t="s">
        <v>95</v>
      </c>
      <c r="E287" s="15" t="s">
        <v>13</v>
      </c>
      <c r="F287" s="97">
        <v>9240</v>
      </c>
      <c r="G287" s="16">
        <v>5.83</v>
      </c>
      <c r="H287" s="23">
        <f t="shared" si="6"/>
        <v>53869.2</v>
      </c>
    </row>
    <row r="288" spans="1:8" x14ac:dyDescent="0.2">
      <c r="A288" s="71"/>
      <c r="B288" s="13">
        <v>18</v>
      </c>
      <c r="C288" s="58">
        <v>463767</v>
      </c>
      <c r="D288" s="18" t="s">
        <v>96</v>
      </c>
      <c r="E288" s="15" t="s">
        <v>13</v>
      </c>
      <c r="F288" s="97">
        <v>489</v>
      </c>
      <c r="G288" s="16">
        <v>6</v>
      </c>
      <c r="H288" s="23">
        <f t="shared" si="6"/>
        <v>2934</v>
      </c>
    </row>
    <row r="289" spans="1:8" x14ac:dyDescent="0.2">
      <c r="A289" s="71"/>
      <c r="B289" s="13">
        <v>19</v>
      </c>
      <c r="C289" s="58">
        <v>463781</v>
      </c>
      <c r="D289" s="18" t="s">
        <v>97</v>
      </c>
      <c r="E289" s="15" t="s">
        <v>13</v>
      </c>
      <c r="F289" s="97">
        <v>1280</v>
      </c>
      <c r="G289" s="16">
        <v>4.99</v>
      </c>
      <c r="H289" s="23">
        <f t="shared" si="6"/>
        <v>6387.2000000000007</v>
      </c>
    </row>
    <row r="290" spans="1:8" x14ac:dyDescent="0.2">
      <c r="A290" s="71"/>
      <c r="B290" s="13">
        <v>20</v>
      </c>
      <c r="C290" s="58">
        <v>463770</v>
      </c>
      <c r="D290" s="18" t="s">
        <v>98</v>
      </c>
      <c r="E290" s="15" t="s">
        <v>13</v>
      </c>
      <c r="F290" s="97">
        <v>6259</v>
      </c>
      <c r="G290" s="16">
        <v>6.03</v>
      </c>
      <c r="H290" s="23">
        <f t="shared" si="6"/>
        <v>37741.770000000004</v>
      </c>
    </row>
    <row r="291" spans="1:8" x14ac:dyDescent="0.2">
      <c r="A291" s="71"/>
      <c r="B291" s="13">
        <v>21</v>
      </c>
      <c r="C291" s="58">
        <v>463778</v>
      </c>
      <c r="D291" s="18" t="s">
        <v>99</v>
      </c>
      <c r="E291" s="15" t="s">
        <v>13</v>
      </c>
      <c r="F291" s="97">
        <v>476</v>
      </c>
      <c r="G291" s="16">
        <v>4.08</v>
      </c>
      <c r="H291" s="23">
        <f t="shared" si="6"/>
        <v>1942.08</v>
      </c>
    </row>
    <row r="292" spans="1:8" x14ac:dyDescent="0.2">
      <c r="A292" s="71"/>
      <c r="B292" s="13">
        <v>22</v>
      </c>
      <c r="C292" s="58">
        <v>463789</v>
      </c>
      <c r="D292" s="18" t="s">
        <v>100</v>
      </c>
      <c r="E292" s="15" t="s">
        <v>13</v>
      </c>
      <c r="F292" s="97">
        <v>1676</v>
      </c>
      <c r="G292" s="16">
        <v>7.59</v>
      </c>
      <c r="H292" s="23">
        <f t="shared" si="6"/>
        <v>12720.84</v>
      </c>
    </row>
    <row r="293" spans="1:8" x14ac:dyDescent="0.2">
      <c r="A293" s="71"/>
      <c r="B293" s="13">
        <v>23</v>
      </c>
      <c r="C293" s="58">
        <v>464393</v>
      </c>
      <c r="D293" s="18" t="s">
        <v>101</v>
      </c>
      <c r="E293" s="15" t="s">
        <v>13</v>
      </c>
      <c r="F293" s="97">
        <v>10680</v>
      </c>
      <c r="G293" s="16">
        <v>5.65</v>
      </c>
      <c r="H293" s="23">
        <f t="shared" si="6"/>
        <v>60342.000000000007</v>
      </c>
    </row>
    <row r="294" spans="1:8" x14ac:dyDescent="0.2">
      <c r="A294" s="71"/>
      <c r="B294" s="13">
        <v>24</v>
      </c>
      <c r="C294" s="58">
        <v>464400</v>
      </c>
      <c r="D294" s="18" t="s">
        <v>102</v>
      </c>
      <c r="E294" s="15" t="s">
        <v>13</v>
      </c>
      <c r="F294" s="97">
        <v>10962</v>
      </c>
      <c r="G294" s="16">
        <v>10.62</v>
      </c>
      <c r="H294" s="23">
        <f t="shared" si="6"/>
        <v>116416.43999999999</v>
      </c>
    </row>
    <row r="295" spans="1:8" x14ac:dyDescent="0.2">
      <c r="A295" s="71"/>
      <c r="B295" s="13">
        <v>25</v>
      </c>
      <c r="C295" s="58">
        <v>464436</v>
      </c>
      <c r="D295" s="18" t="s">
        <v>103</v>
      </c>
      <c r="E295" s="15" t="s">
        <v>13</v>
      </c>
      <c r="F295" s="97">
        <v>3700</v>
      </c>
      <c r="G295" s="16">
        <v>5.9</v>
      </c>
      <c r="H295" s="23">
        <f t="shared" si="6"/>
        <v>21830</v>
      </c>
    </row>
    <row r="296" spans="1:8" x14ac:dyDescent="0.2">
      <c r="A296" s="71"/>
      <c r="B296" s="13">
        <v>26</v>
      </c>
      <c r="C296" s="58">
        <v>234350</v>
      </c>
      <c r="D296" s="18" t="s">
        <v>104</v>
      </c>
      <c r="E296" s="15" t="s">
        <v>105</v>
      </c>
      <c r="F296" s="97">
        <v>7870</v>
      </c>
      <c r="G296" s="16">
        <v>23.04</v>
      </c>
      <c r="H296" s="23">
        <f t="shared" si="6"/>
        <v>181324.79999999999</v>
      </c>
    </row>
    <row r="297" spans="1:8" x14ac:dyDescent="0.2">
      <c r="A297" s="71"/>
      <c r="B297" s="13">
        <v>27</v>
      </c>
      <c r="C297" s="58">
        <v>463839</v>
      </c>
      <c r="D297" s="18" t="s">
        <v>106</v>
      </c>
      <c r="E297" s="15" t="s">
        <v>13</v>
      </c>
      <c r="F297" s="97">
        <v>1680</v>
      </c>
      <c r="G297" s="16">
        <v>4.54</v>
      </c>
      <c r="H297" s="23">
        <f t="shared" si="6"/>
        <v>7627.2</v>
      </c>
    </row>
    <row r="298" spans="1:8" x14ac:dyDescent="0.2">
      <c r="A298" s="71"/>
      <c r="B298" s="13">
        <v>28</v>
      </c>
      <c r="C298" s="58">
        <v>463829</v>
      </c>
      <c r="D298" s="18" t="s">
        <v>107</v>
      </c>
      <c r="E298" s="15" t="s">
        <v>13</v>
      </c>
      <c r="F298" s="97">
        <v>690</v>
      </c>
      <c r="G298" s="16">
        <v>5.04</v>
      </c>
      <c r="H298" s="23">
        <f t="shared" si="6"/>
        <v>3477.6</v>
      </c>
    </row>
    <row r="299" spans="1:8" x14ac:dyDescent="0.2">
      <c r="A299" s="71"/>
      <c r="B299" s="13">
        <v>29</v>
      </c>
      <c r="C299" s="58">
        <v>463804</v>
      </c>
      <c r="D299" s="18" t="s">
        <v>108</v>
      </c>
      <c r="E299" s="15" t="s">
        <v>13</v>
      </c>
      <c r="F299" s="97">
        <v>21110</v>
      </c>
      <c r="G299" s="16">
        <v>8.65</v>
      </c>
      <c r="H299" s="23">
        <f t="shared" si="6"/>
        <v>182601.5</v>
      </c>
    </row>
    <row r="300" spans="1:8" x14ac:dyDescent="0.2">
      <c r="A300" s="71"/>
      <c r="B300" s="13">
        <v>30</v>
      </c>
      <c r="C300" s="58">
        <v>463809</v>
      </c>
      <c r="D300" s="18" t="s">
        <v>109</v>
      </c>
      <c r="E300" s="15" t="s">
        <v>13</v>
      </c>
      <c r="F300" s="97">
        <v>168</v>
      </c>
      <c r="G300" s="16">
        <v>7.7</v>
      </c>
      <c r="H300" s="23">
        <f t="shared" si="6"/>
        <v>1293.6000000000001</v>
      </c>
    </row>
    <row r="301" spans="1:8" x14ac:dyDescent="0.2">
      <c r="A301" s="71"/>
      <c r="B301" s="13">
        <v>31</v>
      </c>
      <c r="C301" s="58">
        <v>463796</v>
      </c>
      <c r="D301" s="18" t="s">
        <v>110</v>
      </c>
      <c r="E301" s="15" t="s">
        <v>13</v>
      </c>
      <c r="F301" s="97">
        <v>1392</v>
      </c>
      <c r="G301" s="16">
        <v>5.16</v>
      </c>
      <c r="H301" s="23">
        <f t="shared" si="6"/>
        <v>7182.72</v>
      </c>
    </row>
    <row r="302" spans="1:8" x14ac:dyDescent="0.2">
      <c r="A302" s="71"/>
      <c r="B302" s="13">
        <v>32</v>
      </c>
      <c r="C302" s="58">
        <v>463807</v>
      </c>
      <c r="D302" s="18" t="s">
        <v>111</v>
      </c>
      <c r="E302" s="15" t="s">
        <v>13</v>
      </c>
      <c r="F302" s="97">
        <v>326</v>
      </c>
      <c r="G302" s="16">
        <v>11.89</v>
      </c>
      <c r="H302" s="23">
        <f t="shared" si="6"/>
        <v>3876.1400000000003</v>
      </c>
    </row>
    <row r="303" spans="1:8" x14ac:dyDescent="0.2">
      <c r="A303" s="71"/>
      <c r="B303" s="13">
        <v>33</v>
      </c>
      <c r="C303" s="58">
        <v>464418</v>
      </c>
      <c r="D303" s="18" t="s">
        <v>112</v>
      </c>
      <c r="E303" s="15" t="s">
        <v>13</v>
      </c>
      <c r="F303" s="97">
        <v>8022</v>
      </c>
      <c r="G303" s="16">
        <v>4.33</v>
      </c>
      <c r="H303" s="23">
        <f t="shared" si="6"/>
        <v>34735.26</v>
      </c>
    </row>
    <row r="304" spans="1:8" x14ac:dyDescent="0.2">
      <c r="A304" s="71"/>
      <c r="B304" s="13">
        <v>34</v>
      </c>
      <c r="C304" s="58">
        <v>464370</v>
      </c>
      <c r="D304" s="18" t="s">
        <v>113</v>
      </c>
      <c r="E304" s="15" t="s">
        <v>13</v>
      </c>
      <c r="F304" s="97">
        <v>3213</v>
      </c>
      <c r="G304" s="16">
        <v>6.35</v>
      </c>
      <c r="H304" s="23">
        <f t="shared" si="6"/>
        <v>20402.55</v>
      </c>
    </row>
    <row r="305" spans="1:8" x14ac:dyDescent="0.2">
      <c r="A305" s="71"/>
      <c r="B305" s="13">
        <v>35</v>
      </c>
      <c r="C305" s="58">
        <v>464404</v>
      </c>
      <c r="D305" s="18" t="s">
        <v>114</v>
      </c>
      <c r="E305" s="15" t="s">
        <v>13</v>
      </c>
      <c r="F305" s="97">
        <v>8022</v>
      </c>
      <c r="G305" s="16">
        <v>7.54</v>
      </c>
      <c r="H305" s="23">
        <f t="shared" si="6"/>
        <v>60485.88</v>
      </c>
    </row>
    <row r="306" spans="1:8" x14ac:dyDescent="0.2">
      <c r="A306" s="71"/>
      <c r="B306" s="13">
        <v>36</v>
      </c>
      <c r="C306" s="58">
        <v>464392</v>
      </c>
      <c r="D306" s="18" t="s">
        <v>115</v>
      </c>
      <c r="E306" s="15" t="s">
        <v>13</v>
      </c>
      <c r="F306" s="97">
        <v>8022</v>
      </c>
      <c r="G306" s="16">
        <v>7.69</v>
      </c>
      <c r="H306" s="23">
        <f t="shared" si="6"/>
        <v>61689.18</v>
      </c>
    </row>
    <row r="307" spans="1:8" x14ac:dyDescent="0.2">
      <c r="A307" s="71"/>
      <c r="B307" s="13">
        <v>37</v>
      </c>
      <c r="C307" s="58">
        <v>464374</v>
      </c>
      <c r="D307" s="18" t="s">
        <v>116</v>
      </c>
      <c r="E307" s="15" t="s">
        <v>13</v>
      </c>
      <c r="F307" s="97">
        <v>4182</v>
      </c>
      <c r="G307" s="16">
        <v>7.75</v>
      </c>
      <c r="H307" s="23">
        <f t="shared" si="6"/>
        <v>32410.5</v>
      </c>
    </row>
    <row r="308" spans="1:8" x14ac:dyDescent="0.2">
      <c r="A308" s="71"/>
      <c r="B308" s="13">
        <v>38</v>
      </c>
      <c r="C308" s="58">
        <v>463797</v>
      </c>
      <c r="D308" s="18" t="s">
        <v>117</v>
      </c>
      <c r="E308" s="15" t="s">
        <v>13</v>
      </c>
      <c r="F308" s="97">
        <v>4578</v>
      </c>
      <c r="G308" s="16">
        <v>8.61</v>
      </c>
      <c r="H308" s="23">
        <f t="shared" si="6"/>
        <v>39416.579999999994</v>
      </c>
    </row>
    <row r="309" spans="1:8" x14ac:dyDescent="0.2">
      <c r="A309" s="71"/>
      <c r="B309" s="13">
        <v>39</v>
      </c>
      <c r="C309" s="58">
        <v>464398</v>
      </c>
      <c r="D309" s="18" t="s">
        <v>118</v>
      </c>
      <c r="E309" s="15" t="s">
        <v>13</v>
      </c>
      <c r="F309" s="97">
        <v>528</v>
      </c>
      <c r="G309" s="16">
        <v>6.76</v>
      </c>
      <c r="H309" s="23">
        <f t="shared" si="6"/>
        <v>3569.2799999999997</v>
      </c>
    </row>
    <row r="310" spans="1:8" ht="13.5" thickBot="1" x14ac:dyDescent="0.25">
      <c r="A310" s="71"/>
      <c r="B310" s="13">
        <v>40</v>
      </c>
      <c r="C310" s="58">
        <v>463898</v>
      </c>
      <c r="D310" s="18" t="s">
        <v>119</v>
      </c>
      <c r="E310" s="15" t="s">
        <v>13</v>
      </c>
      <c r="F310" s="97">
        <v>272</v>
      </c>
      <c r="G310" s="64">
        <v>12.9</v>
      </c>
      <c r="H310" s="23">
        <f t="shared" si="6"/>
        <v>3508.8</v>
      </c>
    </row>
    <row r="311" spans="1:8" ht="13.5" thickBot="1" x14ac:dyDescent="0.25">
      <c r="A311" s="72" t="s">
        <v>46</v>
      </c>
      <c r="B311" s="73"/>
      <c r="C311" s="73"/>
      <c r="D311" s="73"/>
      <c r="E311" s="73"/>
      <c r="F311" s="73"/>
      <c r="G311" s="74"/>
      <c r="H311" s="26">
        <f>SUM(H271:H310)</f>
        <v>1340984.8</v>
      </c>
    </row>
    <row r="312" spans="1:8" ht="13.5" thickBot="1" x14ac:dyDescent="0.25"/>
    <row r="313" spans="1:8" ht="13.5" thickBot="1" x14ac:dyDescent="0.25">
      <c r="A313" s="5" t="s">
        <v>59</v>
      </c>
      <c r="B313" s="6"/>
      <c r="C313" s="6"/>
      <c r="D313" s="6"/>
      <c r="E313" s="6"/>
      <c r="F313" s="6"/>
      <c r="G313" s="7"/>
      <c r="H313" s="8"/>
    </row>
    <row r="314" spans="1:8" ht="13.5" thickBot="1" x14ac:dyDescent="0.25">
      <c r="A314" s="9" t="s">
        <v>3</v>
      </c>
      <c r="B314" s="10" t="s">
        <v>4</v>
      </c>
      <c r="C314" s="41" t="s">
        <v>78</v>
      </c>
      <c r="D314" s="10" t="s">
        <v>6</v>
      </c>
      <c r="E314" s="10" t="s">
        <v>7</v>
      </c>
      <c r="F314" s="10" t="s">
        <v>8</v>
      </c>
      <c r="G314" s="11" t="s">
        <v>9</v>
      </c>
      <c r="H314" s="12" t="s">
        <v>10</v>
      </c>
    </row>
    <row r="315" spans="1:8" x14ac:dyDescent="0.2">
      <c r="A315" s="70" t="s">
        <v>60</v>
      </c>
      <c r="B315" s="13">
        <v>1</v>
      </c>
      <c r="C315" s="51">
        <v>463746</v>
      </c>
      <c r="D315" s="56" t="s">
        <v>79</v>
      </c>
      <c r="E315" s="15" t="s">
        <v>13</v>
      </c>
      <c r="F315" s="96">
        <v>2944</v>
      </c>
      <c r="G315" s="16">
        <v>5.23</v>
      </c>
      <c r="H315" s="22">
        <f>F315*G315</f>
        <v>15397.12</v>
      </c>
    </row>
    <row r="316" spans="1:8" x14ac:dyDescent="0.2">
      <c r="A316" s="71"/>
      <c r="B316" s="13">
        <v>2</v>
      </c>
      <c r="C316" s="50">
        <v>467575</v>
      </c>
      <c r="D316" s="56" t="s">
        <v>80</v>
      </c>
      <c r="E316" s="15" t="s">
        <v>13</v>
      </c>
      <c r="F316" s="97">
        <v>282</v>
      </c>
      <c r="G316" s="16">
        <v>9.99</v>
      </c>
      <c r="H316" s="23">
        <f t="shared" ref="H316:H353" si="7">F316*G316</f>
        <v>2817.18</v>
      </c>
    </row>
    <row r="317" spans="1:8" x14ac:dyDescent="0.2">
      <c r="A317" s="71"/>
      <c r="B317" s="13">
        <v>3</v>
      </c>
      <c r="C317" s="50">
        <v>463831</v>
      </c>
      <c r="D317" s="57" t="s">
        <v>81</v>
      </c>
      <c r="E317" s="15" t="s">
        <v>13</v>
      </c>
      <c r="F317" s="97">
        <v>282</v>
      </c>
      <c r="G317" s="16">
        <v>9.5</v>
      </c>
      <c r="H317" s="23">
        <f t="shared" si="7"/>
        <v>2679</v>
      </c>
    </row>
    <row r="318" spans="1:8" x14ac:dyDescent="0.2">
      <c r="A318" s="71"/>
      <c r="B318" s="13">
        <v>4</v>
      </c>
      <c r="C318" s="50">
        <v>463818</v>
      </c>
      <c r="D318" s="57" t="s">
        <v>82</v>
      </c>
      <c r="E318" s="15" t="s">
        <v>13</v>
      </c>
      <c r="F318" s="97">
        <v>280</v>
      </c>
      <c r="G318" s="16">
        <v>5.59</v>
      </c>
      <c r="H318" s="23">
        <f t="shared" si="7"/>
        <v>1565.2</v>
      </c>
    </row>
    <row r="319" spans="1:8" x14ac:dyDescent="0.2">
      <c r="A319" s="71"/>
      <c r="B319" s="13">
        <v>5</v>
      </c>
      <c r="C319" s="50">
        <v>463824</v>
      </c>
      <c r="D319" s="57" t="s">
        <v>83</v>
      </c>
      <c r="E319" s="15" t="s">
        <v>13</v>
      </c>
      <c r="F319" s="97">
        <v>282</v>
      </c>
      <c r="G319" s="16">
        <v>12</v>
      </c>
      <c r="H319" s="23">
        <f t="shared" si="7"/>
        <v>3384</v>
      </c>
    </row>
    <row r="320" spans="1:8" x14ac:dyDescent="0.2">
      <c r="A320" s="71"/>
      <c r="B320" s="13">
        <v>6</v>
      </c>
      <c r="C320" s="50">
        <v>463749</v>
      </c>
      <c r="D320" s="57" t="s">
        <v>84</v>
      </c>
      <c r="E320" s="15" t="s">
        <v>13</v>
      </c>
      <c r="F320" s="97">
        <v>483</v>
      </c>
      <c r="G320" s="16">
        <v>4.97</v>
      </c>
      <c r="H320" s="23">
        <f t="shared" si="7"/>
        <v>2400.5099999999998</v>
      </c>
    </row>
    <row r="321" spans="1:8" x14ac:dyDescent="0.2">
      <c r="A321" s="71"/>
      <c r="B321" s="13">
        <v>7</v>
      </c>
      <c r="C321" s="50">
        <v>463795</v>
      </c>
      <c r="D321" s="57" t="s">
        <v>85</v>
      </c>
      <c r="E321" s="15" t="s">
        <v>13</v>
      </c>
      <c r="F321" s="97">
        <v>2550</v>
      </c>
      <c r="G321" s="16">
        <v>5.17</v>
      </c>
      <c r="H321" s="23">
        <f t="shared" si="7"/>
        <v>13183.5</v>
      </c>
    </row>
    <row r="322" spans="1:8" x14ac:dyDescent="0.2">
      <c r="A322" s="71"/>
      <c r="B322" s="13">
        <v>8</v>
      </c>
      <c r="C322" s="50">
        <v>463832</v>
      </c>
      <c r="D322" s="57" t="s">
        <v>86</v>
      </c>
      <c r="E322" s="15" t="s">
        <v>13</v>
      </c>
      <c r="F322" s="97">
        <v>700</v>
      </c>
      <c r="G322" s="16">
        <v>10.72</v>
      </c>
      <c r="H322" s="23">
        <f t="shared" si="7"/>
        <v>7504</v>
      </c>
    </row>
    <row r="323" spans="1:8" x14ac:dyDescent="0.2">
      <c r="A323" s="71"/>
      <c r="B323" s="13">
        <v>9</v>
      </c>
      <c r="C323" s="50">
        <v>461695</v>
      </c>
      <c r="D323" s="57" t="s">
        <v>87</v>
      </c>
      <c r="E323" s="15" t="s">
        <v>13</v>
      </c>
      <c r="F323" s="97">
        <v>1112</v>
      </c>
      <c r="G323" s="16">
        <v>25.33</v>
      </c>
      <c r="H323" s="23">
        <f t="shared" si="7"/>
        <v>28166.959999999999</v>
      </c>
    </row>
    <row r="324" spans="1:8" x14ac:dyDescent="0.2">
      <c r="A324" s="71"/>
      <c r="B324" s="13">
        <v>10</v>
      </c>
      <c r="C324" s="50">
        <v>463930</v>
      </c>
      <c r="D324" s="57" t="s">
        <v>88</v>
      </c>
      <c r="E324" s="15" t="s">
        <v>13</v>
      </c>
      <c r="F324" s="97">
        <v>232</v>
      </c>
      <c r="G324" s="16">
        <v>15</v>
      </c>
      <c r="H324" s="23">
        <f t="shared" si="7"/>
        <v>3480</v>
      </c>
    </row>
    <row r="325" spans="1:8" x14ac:dyDescent="0.2">
      <c r="A325" s="71"/>
      <c r="B325" s="13">
        <v>11</v>
      </c>
      <c r="C325" s="50">
        <v>463876</v>
      </c>
      <c r="D325" s="57" t="s">
        <v>89</v>
      </c>
      <c r="E325" s="15" t="s">
        <v>13</v>
      </c>
      <c r="F325" s="97">
        <v>406</v>
      </c>
      <c r="G325" s="16">
        <v>15</v>
      </c>
      <c r="H325" s="23">
        <f t="shared" si="7"/>
        <v>6090</v>
      </c>
    </row>
    <row r="326" spans="1:8" x14ac:dyDescent="0.2">
      <c r="A326" s="71"/>
      <c r="B326" s="13">
        <v>12</v>
      </c>
      <c r="C326" s="50">
        <v>282791</v>
      </c>
      <c r="D326" s="57" t="s">
        <v>90</v>
      </c>
      <c r="E326" s="15" t="s">
        <v>13</v>
      </c>
      <c r="F326" s="97">
        <v>344</v>
      </c>
      <c r="G326" s="16">
        <v>15</v>
      </c>
      <c r="H326" s="23">
        <f t="shared" si="7"/>
        <v>5160</v>
      </c>
    </row>
    <row r="327" spans="1:8" x14ac:dyDescent="0.2">
      <c r="A327" s="71"/>
      <c r="B327" s="13">
        <v>13</v>
      </c>
      <c r="C327" s="50">
        <v>463822</v>
      </c>
      <c r="D327" s="57" t="s">
        <v>91</v>
      </c>
      <c r="E327" s="15" t="s">
        <v>13</v>
      </c>
      <c r="F327" s="97">
        <v>768</v>
      </c>
      <c r="G327" s="16">
        <v>11.96</v>
      </c>
      <c r="H327" s="23">
        <f t="shared" si="7"/>
        <v>9185.2800000000007</v>
      </c>
    </row>
    <row r="328" spans="1:8" x14ac:dyDescent="0.2">
      <c r="A328" s="71"/>
      <c r="B328" s="13">
        <v>14</v>
      </c>
      <c r="C328" s="50">
        <v>464377</v>
      </c>
      <c r="D328" s="57" t="s">
        <v>92</v>
      </c>
      <c r="E328" s="15" t="s">
        <v>13</v>
      </c>
      <c r="F328" s="97">
        <v>1274</v>
      </c>
      <c r="G328" s="16">
        <v>7.95</v>
      </c>
      <c r="H328" s="23">
        <f t="shared" si="7"/>
        <v>10128.300000000001</v>
      </c>
    </row>
    <row r="329" spans="1:8" x14ac:dyDescent="0.2">
      <c r="A329" s="71"/>
      <c r="B329" s="13">
        <v>15</v>
      </c>
      <c r="C329" s="50">
        <v>464381</v>
      </c>
      <c r="D329" s="57" t="s">
        <v>93</v>
      </c>
      <c r="E329" s="15" t="s">
        <v>13</v>
      </c>
      <c r="F329" s="97">
        <v>32340</v>
      </c>
      <c r="G329" s="16">
        <v>6.19</v>
      </c>
      <c r="H329" s="23">
        <f t="shared" si="7"/>
        <v>200184.6</v>
      </c>
    </row>
    <row r="330" spans="1:8" x14ac:dyDescent="0.2">
      <c r="A330" s="71"/>
      <c r="B330" s="13">
        <v>16</v>
      </c>
      <c r="C330" s="50">
        <v>463753</v>
      </c>
      <c r="D330" s="57" t="s">
        <v>94</v>
      </c>
      <c r="E330" s="15" t="s">
        <v>13</v>
      </c>
      <c r="F330" s="97">
        <v>422</v>
      </c>
      <c r="G330" s="16">
        <v>5.86</v>
      </c>
      <c r="H330" s="23">
        <f t="shared" si="7"/>
        <v>2472.92</v>
      </c>
    </row>
    <row r="331" spans="1:8" x14ac:dyDescent="0.2">
      <c r="A331" s="71"/>
      <c r="B331" s="13">
        <v>17</v>
      </c>
      <c r="C331" s="58">
        <v>463754</v>
      </c>
      <c r="D331" s="18" t="s">
        <v>95</v>
      </c>
      <c r="E331" s="15" t="s">
        <v>13</v>
      </c>
      <c r="F331" s="97">
        <v>7750</v>
      </c>
      <c r="G331" s="16">
        <v>5.77</v>
      </c>
      <c r="H331" s="23">
        <f t="shared" si="7"/>
        <v>44717.5</v>
      </c>
    </row>
    <row r="332" spans="1:8" x14ac:dyDescent="0.2">
      <c r="A332" s="71"/>
      <c r="B332" s="13">
        <v>18</v>
      </c>
      <c r="C332" s="58">
        <v>463767</v>
      </c>
      <c r="D332" s="18" t="s">
        <v>96</v>
      </c>
      <c r="E332" s="15" t="s">
        <v>13</v>
      </c>
      <c r="F332" s="97">
        <v>363</v>
      </c>
      <c r="G332" s="16">
        <v>6</v>
      </c>
      <c r="H332" s="23">
        <f t="shared" si="7"/>
        <v>2178</v>
      </c>
    </row>
    <row r="333" spans="1:8" x14ac:dyDescent="0.2">
      <c r="A333" s="71"/>
      <c r="B333" s="13">
        <v>19</v>
      </c>
      <c r="C333" s="58">
        <v>463781</v>
      </c>
      <c r="D333" s="18" t="s">
        <v>97</v>
      </c>
      <c r="E333" s="15" t="s">
        <v>13</v>
      </c>
      <c r="F333" s="97">
        <v>930</v>
      </c>
      <c r="G333" s="16">
        <v>4.99</v>
      </c>
      <c r="H333" s="23">
        <f t="shared" si="7"/>
        <v>4640.7</v>
      </c>
    </row>
    <row r="334" spans="1:8" x14ac:dyDescent="0.2">
      <c r="A334" s="71"/>
      <c r="B334" s="13">
        <v>20</v>
      </c>
      <c r="C334" s="58">
        <v>463770</v>
      </c>
      <c r="D334" s="18" t="s">
        <v>98</v>
      </c>
      <c r="E334" s="15" t="s">
        <v>13</v>
      </c>
      <c r="F334" s="97">
        <v>5291</v>
      </c>
      <c r="G334" s="16">
        <v>6.03</v>
      </c>
      <c r="H334" s="23">
        <f t="shared" si="7"/>
        <v>31904.73</v>
      </c>
    </row>
    <row r="335" spans="1:8" x14ac:dyDescent="0.2">
      <c r="A335" s="71"/>
      <c r="B335" s="13">
        <v>21</v>
      </c>
      <c r="C335" s="58">
        <v>463778</v>
      </c>
      <c r="D335" s="18" t="s">
        <v>99</v>
      </c>
      <c r="E335" s="15" t="s">
        <v>13</v>
      </c>
      <c r="F335" s="97">
        <v>352</v>
      </c>
      <c r="G335" s="16">
        <v>3.99</v>
      </c>
      <c r="H335" s="23">
        <f t="shared" si="7"/>
        <v>1404.48</v>
      </c>
    </row>
    <row r="336" spans="1:8" x14ac:dyDescent="0.2">
      <c r="A336" s="71"/>
      <c r="B336" s="13">
        <v>22</v>
      </c>
      <c r="C336" s="58">
        <v>463789</v>
      </c>
      <c r="D336" s="18" t="s">
        <v>100</v>
      </c>
      <c r="E336" s="15" t="s">
        <v>13</v>
      </c>
      <c r="F336" s="97">
        <v>1312</v>
      </c>
      <c r="G336" s="16">
        <v>7.63</v>
      </c>
      <c r="H336" s="23">
        <f t="shared" si="7"/>
        <v>10010.56</v>
      </c>
    </row>
    <row r="337" spans="1:8" x14ac:dyDescent="0.2">
      <c r="A337" s="71"/>
      <c r="B337" s="13">
        <v>23</v>
      </c>
      <c r="C337" s="58">
        <v>464393</v>
      </c>
      <c r="D337" s="18" t="s">
        <v>101</v>
      </c>
      <c r="E337" s="15" t="s">
        <v>13</v>
      </c>
      <c r="F337" s="97">
        <v>8808</v>
      </c>
      <c r="G337" s="16">
        <v>5.65</v>
      </c>
      <c r="H337" s="23">
        <f t="shared" si="7"/>
        <v>49765.200000000004</v>
      </c>
    </row>
    <row r="338" spans="1:8" x14ac:dyDescent="0.2">
      <c r="A338" s="71"/>
      <c r="B338" s="13">
        <v>24</v>
      </c>
      <c r="C338" s="58">
        <v>464400</v>
      </c>
      <c r="D338" s="18" t="s">
        <v>102</v>
      </c>
      <c r="E338" s="15" t="s">
        <v>13</v>
      </c>
      <c r="F338" s="97">
        <v>8604</v>
      </c>
      <c r="G338" s="16">
        <v>10.74</v>
      </c>
      <c r="H338" s="23">
        <f t="shared" si="7"/>
        <v>92406.96</v>
      </c>
    </row>
    <row r="339" spans="1:8" x14ac:dyDescent="0.2">
      <c r="A339" s="71"/>
      <c r="B339" s="13">
        <v>25</v>
      </c>
      <c r="C339" s="58">
        <v>464436</v>
      </c>
      <c r="D339" s="18" t="s">
        <v>103</v>
      </c>
      <c r="E339" s="15" t="s">
        <v>13</v>
      </c>
      <c r="F339" s="97">
        <v>3224</v>
      </c>
      <c r="G339" s="16">
        <v>6.19</v>
      </c>
      <c r="H339" s="23">
        <f t="shared" si="7"/>
        <v>19956.560000000001</v>
      </c>
    </row>
    <row r="340" spans="1:8" x14ac:dyDescent="0.2">
      <c r="A340" s="71"/>
      <c r="B340" s="13">
        <v>26</v>
      </c>
      <c r="C340" s="58">
        <v>234350</v>
      </c>
      <c r="D340" s="18" t="s">
        <v>104</v>
      </c>
      <c r="E340" s="15" t="s">
        <v>105</v>
      </c>
      <c r="F340" s="97">
        <v>7310</v>
      </c>
      <c r="G340" s="16">
        <v>23.04</v>
      </c>
      <c r="H340" s="23">
        <f t="shared" si="7"/>
        <v>168422.39999999999</v>
      </c>
    </row>
    <row r="341" spans="1:8" x14ac:dyDescent="0.2">
      <c r="A341" s="71"/>
      <c r="B341" s="13">
        <v>27</v>
      </c>
      <c r="C341" s="58">
        <v>463839</v>
      </c>
      <c r="D341" s="18" t="s">
        <v>106</v>
      </c>
      <c r="E341" s="15" t="s">
        <v>13</v>
      </c>
      <c r="F341" s="97">
        <v>1375</v>
      </c>
      <c r="G341" s="16">
        <v>4.46</v>
      </c>
      <c r="H341" s="23">
        <f t="shared" si="7"/>
        <v>6132.5</v>
      </c>
    </row>
    <row r="342" spans="1:8" x14ac:dyDescent="0.2">
      <c r="A342" s="71"/>
      <c r="B342" s="13">
        <v>28</v>
      </c>
      <c r="C342" s="58">
        <v>463829</v>
      </c>
      <c r="D342" s="18" t="s">
        <v>107</v>
      </c>
      <c r="E342" s="15" t="s">
        <v>13</v>
      </c>
      <c r="F342" s="97">
        <v>540</v>
      </c>
      <c r="G342" s="16">
        <v>5</v>
      </c>
      <c r="H342" s="23">
        <f t="shared" si="7"/>
        <v>2700</v>
      </c>
    </row>
    <row r="343" spans="1:8" x14ac:dyDescent="0.2">
      <c r="A343" s="71"/>
      <c r="B343" s="13">
        <v>29</v>
      </c>
      <c r="C343" s="58">
        <v>463804</v>
      </c>
      <c r="D343" s="18" t="s">
        <v>108</v>
      </c>
      <c r="E343" s="15" t="s">
        <v>13</v>
      </c>
      <c r="F343" s="97">
        <v>16910</v>
      </c>
      <c r="G343" s="16">
        <v>8.6300000000000008</v>
      </c>
      <c r="H343" s="23">
        <f t="shared" si="7"/>
        <v>145933.30000000002</v>
      </c>
    </row>
    <row r="344" spans="1:8" x14ac:dyDescent="0.2">
      <c r="A344" s="71"/>
      <c r="B344" s="13">
        <v>30</v>
      </c>
      <c r="C344" s="58">
        <v>463809</v>
      </c>
      <c r="D344" s="18" t="s">
        <v>109</v>
      </c>
      <c r="E344" s="15" t="s">
        <v>13</v>
      </c>
      <c r="F344" s="97">
        <v>224</v>
      </c>
      <c r="G344" s="16">
        <v>7.5</v>
      </c>
      <c r="H344" s="23">
        <f t="shared" si="7"/>
        <v>1680</v>
      </c>
    </row>
    <row r="345" spans="1:8" x14ac:dyDescent="0.2">
      <c r="A345" s="71"/>
      <c r="B345" s="13">
        <v>31</v>
      </c>
      <c r="C345" s="58">
        <v>463796</v>
      </c>
      <c r="D345" s="18" t="s">
        <v>110</v>
      </c>
      <c r="E345" s="15" t="s">
        <v>13</v>
      </c>
      <c r="F345" s="97">
        <v>1158</v>
      </c>
      <c r="G345" s="16">
        <v>5.13</v>
      </c>
      <c r="H345" s="23">
        <f t="shared" si="7"/>
        <v>5940.54</v>
      </c>
    </row>
    <row r="346" spans="1:8" x14ac:dyDescent="0.2">
      <c r="A346" s="71"/>
      <c r="B346" s="13">
        <v>32</v>
      </c>
      <c r="C346" s="58">
        <v>463807</v>
      </c>
      <c r="D346" s="18" t="s">
        <v>111</v>
      </c>
      <c r="E346" s="15" t="s">
        <v>13</v>
      </c>
      <c r="F346" s="97">
        <v>276</v>
      </c>
      <c r="G346" s="16">
        <v>11.9</v>
      </c>
      <c r="H346" s="23">
        <f t="shared" si="7"/>
        <v>3284.4</v>
      </c>
    </row>
    <row r="347" spans="1:8" x14ac:dyDescent="0.2">
      <c r="A347" s="71"/>
      <c r="B347" s="13">
        <v>33</v>
      </c>
      <c r="C347" s="58">
        <v>464418</v>
      </c>
      <c r="D347" s="18" t="s">
        <v>112</v>
      </c>
      <c r="E347" s="15" t="s">
        <v>13</v>
      </c>
      <c r="F347" s="97">
        <v>6612</v>
      </c>
      <c r="G347" s="16">
        <v>4.33</v>
      </c>
      <c r="H347" s="23">
        <f>F347*G347</f>
        <v>28629.96</v>
      </c>
    </row>
    <row r="348" spans="1:8" x14ac:dyDescent="0.2">
      <c r="A348" s="71"/>
      <c r="B348" s="13">
        <v>34</v>
      </c>
      <c r="C348" s="58">
        <v>464370</v>
      </c>
      <c r="D348" s="18" t="s">
        <v>113</v>
      </c>
      <c r="E348" s="15" t="s">
        <v>13</v>
      </c>
      <c r="F348" s="97">
        <v>2523</v>
      </c>
      <c r="G348" s="16">
        <v>6.58</v>
      </c>
      <c r="H348" s="23">
        <f>F348*G348</f>
        <v>16601.34</v>
      </c>
    </row>
    <row r="349" spans="1:8" x14ac:dyDescent="0.2">
      <c r="A349" s="71"/>
      <c r="B349" s="13">
        <v>35</v>
      </c>
      <c r="C349" s="58">
        <v>464404</v>
      </c>
      <c r="D349" s="18" t="s">
        <v>114</v>
      </c>
      <c r="E349" s="15" t="s">
        <v>13</v>
      </c>
      <c r="F349" s="97">
        <v>6612</v>
      </c>
      <c r="G349" s="16">
        <v>7.46</v>
      </c>
      <c r="H349" s="23">
        <f t="shared" si="7"/>
        <v>49325.52</v>
      </c>
    </row>
    <row r="350" spans="1:8" x14ac:dyDescent="0.2">
      <c r="A350" s="71"/>
      <c r="B350" s="13">
        <v>36</v>
      </c>
      <c r="C350" s="58">
        <v>464392</v>
      </c>
      <c r="D350" s="18" t="s">
        <v>115</v>
      </c>
      <c r="E350" s="15" t="s">
        <v>13</v>
      </c>
      <c r="F350" s="97">
        <v>6612</v>
      </c>
      <c r="G350" s="16">
        <v>7.69</v>
      </c>
      <c r="H350" s="23">
        <f t="shared" si="7"/>
        <v>50846.280000000006</v>
      </c>
    </row>
    <row r="351" spans="1:8" x14ac:dyDescent="0.2">
      <c r="A351" s="71"/>
      <c r="B351" s="13">
        <v>37</v>
      </c>
      <c r="C351" s="58">
        <v>464374</v>
      </c>
      <c r="D351" s="18" t="s">
        <v>116</v>
      </c>
      <c r="E351" s="15" t="s">
        <v>13</v>
      </c>
      <c r="F351" s="97">
        <v>3666</v>
      </c>
      <c r="G351" s="16">
        <v>7.8</v>
      </c>
      <c r="H351" s="23">
        <f t="shared" si="7"/>
        <v>28594.799999999999</v>
      </c>
    </row>
    <row r="352" spans="1:8" x14ac:dyDescent="0.2">
      <c r="A352" s="71"/>
      <c r="B352" s="13">
        <v>38</v>
      </c>
      <c r="C352" s="58">
        <v>463797</v>
      </c>
      <c r="D352" s="18" t="s">
        <v>117</v>
      </c>
      <c r="E352" s="15" t="s">
        <v>13</v>
      </c>
      <c r="F352" s="97">
        <v>3586</v>
      </c>
      <c r="G352" s="16">
        <v>8.61</v>
      </c>
      <c r="H352" s="23">
        <f t="shared" si="7"/>
        <v>30875.46</v>
      </c>
    </row>
    <row r="353" spans="1:8" x14ac:dyDescent="0.2">
      <c r="A353" s="71"/>
      <c r="B353" s="13">
        <v>39</v>
      </c>
      <c r="C353" s="58">
        <v>464398</v>
      </c>
      <c r="D353" s="18" t="s">
        <v>118</v>
      </c>
      <c r="E353" s="15" t="s">
        <v>13</v>
      </c>
      <c r="F353" s="97">
        <v>522</v>
      </c>
      <c r="G353" s="16">
        <v>6.71</v>
      </c>
      <c r="H353" s="23">
        <f t="shared" si="7"/>
        <v>3502.62</v>
      </c>
    </row>
    <row r="354" spans="1:8" ht="13.5" thickBot="1" x14ac:dyDescent="0.25">
      <c r="A354" s="71"/>
      <c r="B354" s="13">
        <v>40</v>
      </c>
      <c r="C354" s="58">
        <v>463898</v>
      </c>
      <c r="D354" s="18" t="s">
        <v>119</v>
      </c>
      <c r="E354" s="15" t="s">
        <v>13</v>
      </c>
      <c r="F354" s="97">
        <v>308</v>
      </c>
      <c r="G354" s="64">
        <v>12.9</v>
      </c>
      <c r="H354" s="23">
        <f>F354*G354</f>
        <v>3973.2000000000003</v>
      </c>
    </row>
    <row r="355" spans="1:8" ht="13.5" thickBot="1" x14ac:dyDescent="0.25">
      <c r="A355" s="67" t="s">
        <v>46</v>
      </c>
      <c r="B355" s="68"/>
      <c r="C355" s="68"/>
      <c r="D355" s="68"/>
      <c r="E355" s="68"/>
      <c r="F355" s="68"/>
      <c r="G355" s="69"/>
      <c r="H355" s="20">
        <f>SUM(H315:H354)</f>
        <v>1117225.58</v>
      </c>
    </row>
    <row r="356" spans="1:8" ht="13.5" thickBot="1" x14ac:dyDescent="0.25"/>
    <row r="357" spans="1:8" ht="13.5" thickBot="1" x14ac:dyDescent="0.25">
      <c r="A357" s="5" t="s">
        <v>61</v>
      </c>
      <c r="B357" s="6"/>
      <c r="C357" s="6"/>
      <c r="D357" s="6"/>
      <c r="E357" s="6"/>
      <c r="F357" s="6"/>
      <c r="G357" s="7"/>
      <c r="H357" s="8"/>
    </row>
    <row r="358" spans="1:8" ht="13.5" thickBot="1" x14ac:dyDescent="0.25">
      <c r="A358" s="9" t="s">
        <v>3</v>
      </c>
      <c r="B358" s="10" t="s">
        <v>4</v>
      </c>
      <c r="C358" s="41" t="s">
        <v>78</v>
      </c>
      <c r="D358" s="10" t="s">
        <v>6</v>
      </c>
      <c r="E358" s="10" t="s">
        <v>7</v>
      </c>
      <c r="F358" s="10" t="s">
        <v>8</v>
      </c>
      <c r="G358" s="11" t="s">
        <v>9</v>
      </c>
      <c r="H358" s="12" t="s">
        <v>10</v>
      </c>
    </row>
    <row r="359" spans="1:8" x14ac:dyDescent="0.2">
      <c r="A359" s="70" t="s">
        <v>62</v>
      </c>
      <c r="B359" s="13">
        <v>1</v>
      </c>
      <c r="C359" s="51">
        <v>463746</v>
      </c>
      <c r="D359" s="56" t="s">
        <v>79</v>
      </c>
      <c r="E359" s="15" t="s">
        <v>13</v>
      </c>
      <c r="F359" s="96">
        <v>4976</v>
      </c>
      <c r="G359" s="16">
        <v>5.23</v>
      </c>
      <c r="H359" s="22">
        <f>F359*G359</f>
        <v>26024.480000000003</v>
      </c>
    </row>
    <row r="360" spans="1:8" x14ac:dyDescent="0.2">
      <c r="A360" s="71"/>
      <c r="B360" s="13">
        <v>2</v>
      </c>
      <c r="C360" s="50">
        <v>467575</v>
      </c>
      <c r="D360" s="56" t="s">
        <v>80</v>
      </c>
      <c r="E360" s="15" t="s">
        <v>13</v>
      </c>
      <c r="F360" s="97">
        <v>436</v>
      </c>
      <c r="G360" s="16">
        <v>9.99</v>
      </c>
      <c r="H360" s="23">
        <f t="shared" ref="H360:H398" si="8">F360*G360</f>
        <v>4355.6400000000003</v>
      </c>
    </row>
    <row r="361" spans="1:8" x14ac:dyDescent="0.2">
      <c r="A361" s="71"/>
      <c r="B361" s="13">
        <v>3</v>
      </c>
      <c r="C361" s="50">
        <v>463831</v>
      </c>
      <c r="D361" s="57" t="s">
        <v>81</v>
      </c>
      <c r="E361" s="15" t="s">
        <v>13</v>
      </c>
      <c r="F361" s="97">
        <v>436</v>
      </c>
      <c r="G361" s="16">
        <v>9.5</v>
      </c>
      <c r="H361" s="23">
        <f t="shared" si="8"/>
        <v>4142</v>
      </c>
    </row>
    <row r="362" spans="1:8" x14ac:dyDescent="0.2">
      <c r="A362" s="71"/>
      <c r="B362" s="13">
        <v>4</v>
      </c>
      <c r="C362" s="50">
        <v>463818</v>
      </c>
      <c r="D362" s="57" t="s">
        <v>82</v>
      </c>
      <c r="E362" s="15" t="s">
        <v>13</v>
      </c>
      <c r="F362" s="97">
        <v>436</v>
      </c>
      <c r="G362" s="16">
        <v>5.59</v>
      </c>
      <c r="H362" s="23">
        <f t="shared" si="8"/>
        <v>2437.2399999999998</v>
      </c>
    </row>
    <row r="363" spans="1:8" x14ac:dyDescent="0.2">
      <c r="A363" s="71"/>
      <c r="B363" s="13">
        <v>5</v>
      </c>
      <c r="C363" s="50">
        <v>463824</v>
      </c>
      <c r="D363" s="57" t="s">
        <v>83</v>
      </c>
      <c r="E363" s="15" t="s">
        <v>13</v>
      </c>
      <c r="F363" s="97">
        <v>436</v>
      </c>
      <c r="G363" s="16">
        <v>12</v>
      </c>
      <c r="H363" s="23">
        <f t="shared" si="8"/>
        <v>5232</v>
      </c>
    </row>
    <row r="364" spans="1:8" x14ac:dyDescent="0.2">
      <c r="A364" s="71"/>
      <c r="B364" s="13">
        <v>6</v>
      </c>
      <c r="C364" s="50">
        <v>463749</v>
      </c>
      <c r="D364" s="57" t="s">
        <v>84</v>
      </c>
      <c r="E364" s="15" t="s">
        <v>13</v>
      </c>
      <c r="F364" s="97">
        <v>777</v>
      </c>
      <c r="G364" s="16">
        <v>5.01</v>
      </c>
      <c r="H364" s="23">
        <f t="shared" si="8"/>
        <v>3892.77</v>
      </c>
    </row>
    <row r="365" spans="1:8" x14ac:dyDescent="0.2">
      <c r="A365" s="71"/>
      <c r="B365" s="13">
        <v>7</v>
      </c>
      <c r="C365" s="50">
        <v>463795</v>
      </c>
      <c r="D365" s="57" t="s">
        <v>85</v>
      </c>
      <c r="E365" s="15" t="s">
        <v>13</v>
      </c>
      <c r="F365" s="97">
        <v>4332</v>
      </c>
      <c r="G365" s="16">
        <v>5.2</v>
      </c>
      <c r="H365" s="23">
        <f t="shared" si="8"/>
        <v>22526.400000000001</v>
      </c>
    </row>
    <row r="366" spans="1:8" x14ac:dyDescent="0.2">
      <c r="A366" s="71"/>
      <c r="B366" s="13">
        <v>8</v>
      </c>
      <c r="C366" s="50">
        <v>463832</v>
      </c>
      <c r="D366" s="57" t="s">
        <v>86</v>
      </c>
      <c r="E366" s="15" t="s">
        <v>13</v>
      </c>
      <c r="F366" s="97">
        <v>1099</v>
      </c>
      <c r="G366" s="16">
        <v>10.72</v>
      </c>
      <c r="H366" s="23">
        <f t="shared" si="8"/>
        <v>11781.28</v>
      </c>
    </row>
    <row r="367" spans="1:8" x14ac:dyDescent="0.2">
      <c r="A367" s="71"/>
      <c r="B367" s="13">
        <v>9</v>
      </c>
      <c r="C367" s="50">
        <v>461695</v>
      </c>
      <c r="D367" s="57" t="s">
        <v>87</v>
      </c>
      <c r="E367" s="15" t="s">
        <v>13</v>
      </c>
      <c r="F367" s="97">
        <v>1736</v>
      </c>
      <c r="G367" s="16">
        <v>25.33</v>
      </c>
      <c r="H367" s="23">
        <f t="shared" si="8"/>
        <v>43972.88</v>
      </c>
    </row>
    <row r="368" spans="1:8" x14ac:dyDescent="0.2">
      <c r="A368" s="71"/>
      <c r="B368" s="13">
        <v>10</v>
      </c>
      <c r="C368" s="50">
        <v>463930</v>
      </c>
      <c r="D368" s="57" t="s">
        <v>88</v>
      </c>
      <c r="E368" s="15" t="s">
        <v>13</v>
      </c>
      <c r="F368" s="97">
        <v>304</v>
      </c>
      <c r="G368" s="16">
        <v>15</v>
      </c>
      <c r="H368" s="23">
        <f t="shared" si="8"/>
        <v>4560</v>
      </c>
    </row>
    <row r="369" spans="1:8" x14ac:dyDescent="0.2">
      <c r="A369" s="71"/>
      <c r="B369" s="13">
        <v>11</v>
      </c>
      <c r="C369" s="50">
        <v>463876</v>
      </c>
      <c r="D369" s="57" t="s">
        <v>89</v>
      </c>
      <c r="E369" s="15" t="s">
        <v>13</v>
      </c>
      <c r="F369" s="97">
        <v>378</v>
      </c>
      <c r="G369" s="16">
        <v>15</v>
      </c>
      <c r="H369" s="23">
        <f t="shared" si="8"/>
        <v>5670</v>
      </c>
    </row>
    <row r="370" spans="1:8" x14ac:dyDescent="0.2">
      <c r="A370" s="71"/>
      <c r="B370" s="13">
        <v>12</v>
      </c>
      <c r="C370" s="50">
        <v>282791</v>
      </c>
      <c r="D370" s="57" t="s">
        <v>90</v>
      </c>
      <c r="E370" s="15" t="s">
        <v>13</v>
      </c>
      <c r="F370" s="97">
        <v>440</v>
      </c>
      <c r="G370" s="16">
        <v>15</v>
      </c>
      <c r="H370" s="23">
        <f t="shared" si="8"/>
        <v>6600</v>
      </c>
    </row>
    <row r="371" spans="1:8" x14ac:dyDescent="0.2">
      <c r="A371" s="71"/>
      <c r="B371" s="13">
        <v>13</v>
      </c>
      <c r="C371" s="50">
        <v>463822</v>
      </c>
      <c r="D371" s="57" t="s">
        <v>91</v>
      </c>
      <c r="E371" s="15" t="s">
        <v>13</v>
      </c>
      <c r="F371" s="97">
        <v>1208</v>
      </c>
      <c r="G371" s="16">
        <v>11.96</v>
      </c>
      <c r="H371" s="23">
        <f t="shared" si="8"/>
        <v>14447.68</v>
      </c>
    </row>
    <row r="372" spans="1:8" x14ac:dyDescent="0.2">
      <c r="A372" s="71"/>
      <c r="B372" s="13">
        <v>14</v>
      </c>
      <c r="C372" s="50">
        <v>464377</v>
      </c>
      <c r="D372" s="57" t="s">
        <v>92</v>
      </c>
      <c r="E372" s="15" t="s">
        <v>13</v>
      </c>
      <c r="F372" s="97">
        <v>2177</v>
      </c>
      <c r="G372" s="16">
        <v>7.95</v>
      </c>
      <c r="H372" s="23">
        <f t="shared" si="8"/>
        <v>17307.150000000001</v>
      </c>
    </row>
    <row r="373" spans="1:8" x14ac:dyDescent="0.2">
      <c r="A373" s="71"/>
      <c r="B373" s="13">
        <v>15</v>
      </c>
      <c r="C373" s="50">
        <v>464381</v>
      </c>
      <c r="D373" s="57" t="s">
        <v>93</v>
      </c>
      <c r="E373" s="15" t="s">
        <v>13</v>
      </c>
      <c r="F373" s="97">
        <v>55500</v>
      </c>
      <c r="G373" s="16">
        <v>6.19</v>
      </c>
      <c r="H373" s="23">
        <f t="shared" si="8"/>
        <v>343545</v>
      </c>
    </row>
    <row r="374" spans="1:8" x14ac:dyDescent="0.2">
      <c r="A374" s="71"/>
      <c r="B374" s="13">
        <v>16</v>
      </c>
      <c r="C374" s="50">
        <v>463753</v>
      </c>
      <c r="D374" s="57" t="s">
        <v>94</v>
      </c>
      <c r="E374" s="15" t="s">
        <v>13</v>
      </c>
      <c r="F374" s="97">
        <v>726</v>
      </c>
      <c r="G374" s="16">
        <v>5.86</v>
      </c>
      <c r="H374" s="23">
        <f t="shared" si="8"/>
        <v>4254.3600000000006</v>
      </c>
    </row>
    <row r="375" spans="1:8" x14ac:dyDescent="0.2">
      <c r="A375" s="71"/>
      <c r="B375" s="13">
        <v>17</v>
      </c>
      <c r="C375" s="58">
        <v>463754</v>
      </c>
      <c r="D375" s="18" t="s">
        <v>95</v>
      </c>
      <c r="E375" s="15" t="s">
        <v>13</v>
      </c>
      <c r="F375" s="97">
        <v>14150</v>
      </c>
      <c r="G375" s="16">
        <v>5.67</v>
      </c>
      <c r="H375" s="23">
        <f t="shared" si="8"/>
        <v>80230.5</v>
      </c>
    </row>
    <row r="376" spans="1:8" x14ac:dyDescent="0.2">
      <c r="A376" s="71"/>
      <c r="B376" s="13">
        <v>18</v>
      </c>
      <c r="C376" s="58">
        <v>463767</v>
      </c>
      <c r="D376" s="18" t="s">
        <v>96</v>
      </c>
      <c r="E376" s="15" t="s">
        <v>13</v>
      </c>
      <c r="F376" s="97">
        <v>648</v>
      </c>
      <c r="G376" s="16">
        <v>6</v>
      </c>
      <c r="H376" s="23">
        <f t="shared" si="8"/>
        <v>3888</v>
      </c>
    </row>
    <row r="377" spans="1:8" x14ac:dyDescent="0.2">
      <c r="A377" s="71"/>
      <c r="B377" s="13">
        <v>19</v>
      </c>
      <c r="C377" s="58">
        <v>463781</v>
      </c>
      <c r="D377" s="18" t="s">
        <v>97</v>
      </c>
      <c r="E377" s="15" t="s">
        <v>13</v>
      </c>
      <c r="F377" s="97">
        <v>1690</v>
      </c>
      <c r="G377" s="16">
        <v>4.99</v>
      </c>
      <c r="H377" s="23">
        <f t="shared" si="8"/>
        <v>8433.1</v>
      </c>
    </row>
    <row r="378" spans="1:8" x14ac:dyDescent="0.2">
      <c r="A378" s="71"/>
      <c r="B378" s="13">
        <v>20</v>
      </c>
      <c r="C378" s="58">
        <v>463770</v>
      </c>
      <c r="D378" s="18" t="s">
        <v>98</v>
      </c>
      <c r="E378" s="15" t="s">
        <v>13</v>
      </c>
      <c r="F378" s="97">
        <v>9075</v>
      </c>
      <c r="G378" s="16">
        <v>6.03</v>
      </c>
      <c r="H378" s="23">
        <f t="shared" si="8"/>
        <v>54722.25</v>
      </c>
    </row>
    <row r="379" spans="1:8" x14ac:dyDescent="0.2">
      <c r="A379" s="71"/>
      <c r="B379" s="13">
        <v>21</v>
      </c>
      <c r="C379" s="58">
        <v>463778</v>
      </c>
      <c r="D379" s="18" t="s">
        <v>99</v>
      </c>
      <c r="E379" s="15" t="s">
        <v>13</v>
      </c>
      <c r="F379" s="97">
        <v>644</v>
      </c>
      <c r="G379" s="16">
        <v>3.99</v>
      </c>
      <c r="H379" s="23">
        <f t="shared" si="8"/>
        <v>2569.56</v>
      </c>
    </row>
    <row r="380" spans="1:8" x14ac:dyDescent="0.2">
      <c r="A380" s="71"/>
      <c r="B380" s="13">
        <v>22</v>
      </c>
      <c r="C380" s="58">
        <v>463789</v>
      </c>
      <c r="D380" s="18" t="s">
        <v>100</v>
      </c>
      <c r="E380" s="15" t="s">
        <v>13</v>
      </c>
      <c r="F380" s="97">
        <v>2260</v>
      </c>
      <c r="G380" s="16">
        <v>7.64</v>
      </c>
      <c r="H380" s="23">
        <f t="shared" si="8"/>
        <v>17266.399999999998</v>
      </c>
    </row>
    <row r="381" spans="1:8" x14ac:dyDescent="0.2">
      <c r="A381" s="71"/>
      <c r="B381" s="13">
        <v>23</v>
      </c>
      <c r="C381" s="58">
        <v>464393</v>
      </c>
      <c r="D381" s="18" t="s">
        <v>101</v>
      </c>
      <c r="E381" s="15" t="s">
        <v>13</v>
      </c>
      <c r="F381" s="97">
        <v>14168</v>
      </c>
      <c r="G381" s="16">
        <v>5.65</v>
      </c>
      <c r="H381" s="23">
        <f t="shared" si="8"/>
        <v>80049.200000000012</v>
      </c>
    </row>
    <row r="382" spans="1:8" x14ac:dyDescent="0.2">
      <c r="A382" s="71"/>
      <c r="B382" s="13">
        <v>24</v>
      </c>
      <c r="C382" s="58">
        <v>464400</v>
      </c>
      <c r="D382" s="18" t="s">
        <v>102</v>
      </c>
      <c r="E382" s="15" t="s">
        <v>13</v>
      </c>
      <c r="F382" s="97">
        <v>14778</v>
      </c>
      <c r="G382" s="16">
        <v>10.88</v>
      </c>
      <c r="H382" s="23">
        <f t="shared" si="8"/>
        <v>160784.64000000001</v>
      </c>
    </row>
    <row r="383" spans="1:8" x14ac:dyDescent="0.2">
      <c r="A383" s="71"/>
      <c r="B383" s="13">
        <v>25</v>
      </c>
      <c r="C383" s="58">
        <v>464436</v>
      </c>
      <c r="D383" s="18" t="s">
        <v>103</v>
      </c>
      <c r="E383" s="15" t="s">
        <v>13</v>
      </c>
      <c r="F383" s="97">
        <v>6000</v>
      </c>
      <c r="G383" s="16">
        <v>6.15</v>
      </c>
      <c r="H383" s="23">
        <f t="shared" si="8"/>
        <v>36900</v>
      </c>
    </row>
    <row r="384" spans="1:8" x14ac:dyDescent="0.2">
      <c r="A384" s="71"/>
      <c r="B384" s="13">
        <v>26</v>
      </c>
      <c r="C384" s="58">
        <v>234350</v>
      </c>
      <c r="D384" s="18" t="s">
        <v>104</v>
      </c>
      <c r="E384" s="15" t="s">
        <v>105</v>
      </c>
      <c r="F384" s="97">
        <v>13680</v>
      </c>
      <c r="G384" s="16">
        <v>23.04</v>
      </c>
      <c r="H384" s="23">
        <f t="shared" si="8"/>
        <v>315187.20000000001</v>
      </c>
    </row>
    <row r="385" spans="1:8" x14ac:dyDescent="0.2">
      <c r="A385" s="71"/>
      <c r="B385" s="13">
        <v>27</v>
      </c>
      <c r="C385" s="58">
        <v>463839</v>
      </c>
      <c r="D385" s="18" t="s">
        <v>106</v>
      </c>
      <c r="E385" s="15" t="s">
        <v>13</v>
      </c>
      <c r="F385" s="97">
        <v>2230</v>
      </c>
      <c r="G385" s="16">
        <v>4.46</v>
      </c>
      <c r="H385" s="23">
        <f t="shared" si="8"/>
        <v>9945.7999999999993</v>
      </c>
    </row>
    <row r="386" spans="1:8" x14ac:dyDescent="0.2">
      <c r="A386" s="71"/>
      <c r="B386" s="13">
        <v>28</v>
      </c>
      <c r="C386" s="58">
        <v>463829</v>
      </c>
      <c r="D386" s="18" t="s">
        <v>107</v>
      </c>
      <c r="E386" s="15" t="s">
        <v>13</v>
      </c>
      <c r="F386" s="97">
        <v>933</v>
      </c>
      <c r="G386" s="16">
        <v>5</v>
      </c>
      <c r="H386" s="23">
        <f t="shared" si="8"/>
        <v>4665</v>
      </c>
    </row>
    <row r="387" spans="1:8" x14ac:dyDescent="0.2">
      <c r="A387" s="71"/>
      <c r="B387" s="13">
        <v>29</v>
      </c>
      <c r="C387" s="58">
        <v>463804</v>
      </c>
      <c r="D387" s="18" t="s">
        <v>108</v>
      </c>
      <c r="E387" s="15" t="s">
        <v>13</v>
      </c>
      <c r="F387" s="97">
        <v>28230</v>
      </c>
      <c r="G387" s="16">
        <v>8.6300000000000008</v>
      </c>
      <c r="H387" s="23">
        <f t="shared" si="8"/>
        <v>243624.90000000002</v>
      </c>
    </row>
    <row r="388" spans="1:8" x14ac:dyDescent="0.2">
      <c r="A388" s="71"/>
      <c r="B388" s="13">
        <v>30</v>
      </c>
      <c r="C388" s="58">
        <v>463809</v>
      </c>
      <c r="D388" s="18" t="s">
        <v>109</v>
      </c>
      <c r="E388" s="15" t="s">
        <v>13</v>
      </c>
      <c r="F388" s="97">
        <v>292</v>
      </c>
      <c r="G388" s="16">
        <v>7.5</v>
      </c>
      <c r="H388" s="23">
        <f t="shared" si="8"/>
        <v>2190</v>
      </c>
    </row>
    <row r="389" spans="1:8" x14ac:dyDescent="0.2">
      <c r="A389" s="71"/>
      <c r="B389" s="13">
        <v>31</v>
      </c>
      <c r="C389" s="58">
        <v>463796</v>
      </c>
      <c r="D389" s="18" t="s">
        <v>110</v>
      </c>
      <c r="E389" s="15" t="s">
        <v>13</v>
      </c>
      <c r="F389" s="97">
        <v>1914</v>
      </c>
      <c r="G389" s="16">
        <v>5.16</v>
      </c>
      <c r="H389" s="23">
        <f t="shared" si="8"/>
        <v>9876.24</v>
      </c>
    </row>
    <row r="390" spans="1:8" x14ac:dyDescent="0.2">
      <c r="A390" s="71"/>
      <c r="B390" s="13">
        <v>32</v>
      </c>
      <c r="C390" s="58">
        <v>463807</v>
      </c>
      <c r="D390" s="18" t="s">
        <v>111</v>
      </c>
      <c r="E390" s="15" t="s">
        <v>13</v>
      </c>
      <c r="F390" s="97">
        <v>442</v>
      </c>
      <c r="G390" s="16">
        <v>11.9</v>
      </c>
      <c r="H390" s="23">
        <f t="shared" si="8"/>
        <v>5259.8</v>
      </c>
    </row>
    <row r="391" spans="1:8" x14ac:dyDescent="0.2">
      <c r="A391" s="71"/>
      <c r="B391" s="13">
        <v>33</v>
      </c>
      <c r="C391" s="58">
        <v>464418</v>
      </c>
      <c r="D391" s="18" t="s">
        <v>112</v>
      </c>
      <c r="E391" s="15" t="s">
        <v>13</v>
      </c>
      <c r="F391" s="97">
        <v>10644</v>
      </c>
      <c r="G391" s="16">
        <v>4.33</v>
      </c>
      <c r="H391" s="23">
        <f t="shared" si="8"/>
        <v>46088.520000000004</v>
      </c>
    </row>
    <row r="392" spans="1:8" x14ac:dyDescent="0.2">
      <c r="A392" s="71"/>
      <c r="B392" s="13">
        <v>34</v>
      </c>
      <c r="C392" s="58">
        <v>464370</v>
      </c>
      <c r="D392" s="18" t="s">
        <v>113</v>
      </c>
      <c r="E392" s="15" t="s">
        <v>13</v>
      </c>
      <c r="F392" s="97">
        <v>4335</v>
      </c>
      <c r="G392" s="16">
        <v>6.58</v>
      </c>
      <c r="H392" s="23">
        <f t="shared" si="8"/>
        <v>28524.3</v>
      </c>
    </row>
    <row r="393" spans="1:8" x14ac:dyDescent="0.2">
      <c r="A393" s="71"/>
      <c r="B393" s="13">
        <v>35</v>
      </c>
      <c r="C393" s="58">
        <v>464404</v>
      </c>
      <c r="D393" s="18" t="s">
        <v>114</v>
      </c>
      <c r="E393" s="15" t="s">
        <v>13</v>
      </c>
      <c r="F393" s="97">
        <v>10644</v>
      </c>
      <c r="G393" s="16">
        <v>7.51</v>
      </c>
      <c r="H393" s="23">
        <f t="shared" si="8"/>
        <v>79936.44</v>
      </c>
    </row>
    <row r="394" spans="1:8" x14ac:dyDescent="0.2">
      <c r="A394" s="71"/>
      <c r="B394" s="13">
        <v>36</v>
      </c>
      <c r="C394" s="58">
        <v>464392</v>
      </c>
      <c r="D394" s="18" t="s">
        <v>115</v>
      </c>
      <c r="E394" s="15" t="s">
        <v>13</v>
      </c>
      <c r="F394" s="97">
        <v>10644</v>
      </c>
      <c r="G394" s="16">
        <v>7.69</v>
      </c>
      <c r="H394" s="23">
        <f t="shared" si="8"/>
        <v>81852.36</v>
      </c>
    </row>
    <row r="395" spans="1:8" x14ac:dyDescent="0.2">
      <c r="A395" s="71"/>
      <c r="B395" s="13">
        <v>37</v>
      </c>
      <c r="C395" s="58">
        <v>464374</v>
      </c>
      <c r="D395" s="18" t="s">
        <v>116</v>
      </c>
      <c r="E395" s="15" t="s">
        <v>13</v>
      </c>
      <c r="F395" s="97">
        <v>6744</v>
      </c>
      <c r="G395" s="16">
        <v>7.8</v>
      </c>
      <c r="H395" s="23">
        <f t="shared" si="8"/>
        <v>52603.199999999997</v>
      </c>
    </row>
    <row r="396" spans="1:8" x14ac:dyDescent="0.2">
      <c r="A396" s="71"/>
      <c r="B396" s="13">
        <v>38</v>
      </c>
      <c r="C396" s="58">
        <v>463797</v>
      </c>
      <c r="D396" s="18" t="s">
        <v>117</v>
      </c>
      <c r="E396" s="15" t="s">
        <v>13</v>
      </c>
      <c r="F396" s="97">
        <v>6176</v>
      </c>
      <c r="G396" s="16">
        <v>8.61</v>
      </c>
      <c r="H396" s="23">
        <f t="shared" si="8"/>
        <v>53175.359999999993</v>
      </c>
    </row>
    <row r="397" spans="1:8" x14ac:dyDescent="0.2">
      <c r="A397" s="71"/>
      <c r="B397" s="13">
        <v>39</v>
      </c>
      <c r="C397" s="58">
        <v>464398</v>
      </c>
      <c r="D397" s="18" t="s">
        <v>118</v>
      </c>
      <c r="E397" s="15" t="s">
        <v>13</v>
      </c>
      <c r="F397" s="97">
        <v>780</v>
      </c>
      <c r="G397" s="16">
        <v>6.71</v>
      </c>
      <c r="H397" s="23">
        <f t="shared" si="8"/>
        <v>5233.8</v>
      </c>
    </row>
    <row r="398" spans="1:8" ht="13.5" thickBot="1" x14ac:dyDescent="0.25">
      <c r="A398" s="71"/>
      <c r="B398" s="13">
        <v>40</v>
      </c>
      <c r="C398" s="58">
        <v>463898</v>
      </c>
      <c r="D398" s="18" t="s">
        <v>119</v>
      </c>
      <c r="E398" s="15" t="s">
        <v>13</v>
      </c>
      <c r="F398" s="97">
        <v>352</v>
      </c>
      <c r="G398" s="64">
        <v>12.9</v>
      </c>
      <c r="H398" s="23">
        <f t="shared" si="8"/>
        <v>4540.8</v>
      </c>
    </row>
    <row r="399" spans="1:8" ht="13.5" thickBot="1" x14ac:dyDescent="0.25">
      <c r="A399" s="67" t="s">
        <v>46</v>
      </c>
      <c r="B399" s="68"/>
      <c r="C399" s="68"/>
      <c r="D399" s="68"/>
      <c r="E399" s="68"/>
      <c r="F399" s="68"/>
      <c r="G399" s="69"/>
      <c r="H399" s="20">
        <f>SUM(H359:H398)</f>
        <v>1908296.2500000005</v>
      </c>
    </row>
    <row r="400" spans="1:8" ht="13.5" thickBot="1" x14ac:dyDescent="0.25"/>
    <row r="401" spans="1:8" ht="13.5" thickBot="1" x14ac:dyDescent="0.25">
      <c r="A401" s="5" t="s">
        <v>63</v>
      </c>
      <c r="B401" s="6"/>
      <c r="C401" s="6"/>
      <c r="D401" s="6"/>
      <c r="E401" s="6"/>
      <c r="F401" s="6"/>
      <c r="G401" s="7"/>
      <c r="H401" s="8"/>
    </row>
    <row r="402" spans="1:8" ht="13.5" thickBot="1" x14ac:dyDescent="0.25">
      <c r="A402" s="30" t="s">
        <v>3</v>
      </c>
      <c r="B402" s="31" t="s">
        <v>4</v>
      </c>
      <c r="C402" s="41" t="s">
        <v>78</v>
      </c>
      <c r="D402" s="31" t="s">
        <v>6</v>
      </c>
      <c r="E402" s="31" t="s">
        <v>7</v>
      </c>
      <c r="F402" s="31" t="s">
        <v>8</v>
      </c>
      <c r="G402" s="32" t="s">
        <v>9</v>
      </c>
      <c r="H402" s="33" t="s">
        <v>10</v>
      </c>
    </row>
    <row r="403" spans="1:8" x14ac:dyDescent="0.2">
      <c r="A403" s="71" t="s">
        <v>64</v>
      </c>
      <c r="B403" s="13">
        <v>1</v>
      </c>
      <c r="C403" s="51">
        <v>463746</v>
      </c>
      <c r="D403" s="56" t="s">
        <v>79</v>
      </c>
      <c r="E403" s="15" t="s">
        <v>13</v>
      </c>
      <c r="F403" s="98">
        <f>307*8</f>
        <v>2456</v>
      </c>
      <c r="G403" s="16">
        <v>5.23</v>
      </c>
      <c r="H403" s="34">
        <f>F403*G403</f>
        <v>12844.880000000001</v>
      </c>
    </row>
    <row r="404" spans="1:8" x14ac:dyDescent="0.2">
      <c r="A404" s="71"/>
      <c r="B404" s="13">
        <v>2</v>
      </c>
      <c r="C404" s="50">
        <v>467575</v>
      </c>
      <c r="D404" s="56" t="s">
        <v>80</v>
      </c>
      <c r="E404" s="15" t="s">
        <v>13</v>
      </c>
      <c r="F404" s="97">
        <f>109*2</f>
        <v>218</v>
      </c>
      <c r="G404" s="16">
        <v>9.99</v>
      </c>
      <c r="H404" s="23">
        <f>F404*G404</f>
        <v>2177.8200000000002</v>
      </c>
    </row>
    <row r="405" spans="1:8" x14ac:dyDescent="0.2">
      <c r="A405" s="71"/>
      <c r="B405" s="13">
        <v>3</v>
      </c>
      <c r="C405" s="50">
        <v>463831</v>
      </c>
      <c r="D405" s="57" t="s">
        <v>81</v>
      </c>
      <c r="E405" s="15" t="s">
        <v>13</v>
      </c>
      <c r="F405" s="97">
        <f>109*2</f>
        <v>218</v>
      </c>
      <c r="G405" s="16">
        <v>9.5</v>
      </c>
      <c r="H405" s="23">
        <f>F405*G405</f>
        <v>2071</v>
      </c>
    </row>
    <row r="406" spans="1:8" x14ac:dyDescent="0.2">
      <c r="A406" s="71"/>
      <c r="B406" s="13">
        <v>4</v>
      </c>
      <c r="C406" s="50">
        <v>463818</v>
      </c>
      <c r="D406" s="57" t="s">
        <v>82</v>
      </c>
      <c r="E406" s="15" t="s">
        <v>13</v>
      </c>
      <c r="F406" s="97">
        <f>109*2</f>
        <v>218</v>
      </c>
      <c r="G406" s="16">
        <v>5.59</v>
      </c>
      <c r="H406" s="23">
        <f>F406*G406</f>
        <v>1218.6199999999999</v>
      </c>
    </row>
    <row r="407" spans="1:8" x14ac:dyDescent="0.2">
      <c r="A407" s="71"/>
      <c r="B407" s="13">
        <v>5</v>
      </c>
      <c r="C407" s="50">
        <v>463824</v>
      </c>
      <c r="D407" s="57" t="s">
        <v>83</v>
      </c>
      <c r="E407" s="15" t="s">
        <v>13</v>
      </c>
      <c r="F407" s="97">
        <f>109*2</f>
        <v>218</v>
      </c>
      <c r="G407" s="16">
        <v>12</v>
      </c>
      <c r="H407" s="23">
        <f>F407*G407</f>
        <v>2616</v>
      </c>
    </row>
    <row r="408" spans="1:8" x14ac:dyDescent="0.2">
      <c r="A408" s="71"/>
      <c r="B408" s="13">
        <v>6</v>
      </c>
      <c r="C408" s="50">
        <v>463749</v>
      </c>
      <c r="D408" s="57" t="s">
        <v>84</v>
      </c>
      <c r="E408" s="15" t="s">
        <v>13</v>
      </c>
      <c r="F408" s="97">
        <f>130*3</f>
        <v>390</v>
      </c>
      <c r="G408" s="16">
        <v>5.01</v>
      </c>
      <c r="H408" s="23">
        <f t="shared" ref="H408:H441" si="9">F408*G408</f>
        <v>1953.8999999999999</v>
      </c>
    </row>
    <row r="409" spans="1:8" x14ac:dyDescent="0.2">
      <c r="A409" s="71"/>
      <c r="B409" s="13">
        <v>7</v>
      </c>
      <c r="C409" s="50">
        <v>463795</v>
      </c>
      <c r="D409" s="57" t="s">
        <v>85</v>
      </c>
      <c r="E409" s="15" t="s">
        <v>13</v>
      </c>
      <c r="F409" s="97">
        <f>363*6</f>
        <v>2178</v>
      </c>
      <c r="G409" s="16">
        <v>5.2</v>
      </c>
      <c r="H409" s="23">
        <f t="shared" si="9"/>
        <v>11325.6</v>
      </c>
    </row>
    <row r="410" spans="1:8" x14ac:dyDescent="0.2">
      <c r="A410" s="71"/>
      <c r="B410" s="13">
        <v>8</v>
      </c>
      <c r="C410" s="50">
        <v>463832</v>
      </c>
      <c r="D410" s="57" t="s">
        <v>86</v>
      </c>
      <c r="E410" s="15" t="s">
        <v>13</v>
      </c>
      <c r="F410" s="97">
        <f>74*7</f>
        <v>518</v>
      </c>
      <c r="G410" s="16">
        <v>10.72</v>
      </c>
      <c r="H410" s="23">
        <f t="shared" si="9"/>
        <v>5552.96</v>
      </c>
    </row>
    <row r="411" spans="1:8" x14ac:dyDescent="0.2">
      <c r="A411" s="71"/>
      <c r="B411" s="13">
        <v>9</v>
      </c>
      <c r="C411" s="50">
        <v>461695</v>
      </c>
      <c r="D411" s="57" t="s">
        <v>87</v>
      </c>
      <c r="E411" s="15" t="s">
        <v>13</v>
      </c>
      <c r="F411" s="97">
        <f>106*8</f>
        <v>848</v>
      </c>
      <c r="G411" s="16">
        <v>25.33</v>
      </c>
      <c r="H411" s="23">
        <f t="shared" si="9"/>
        <v>21479.84</v>
      </c>
    </row>
    <row r="412" spans="1:8" x14ac:dyDescent="0.2">
      <c r="A412" s="71"/>
      <c r="B412" s="13">
        <v>10</v>
      </c>
      <c r="C412" s="50">
        <v>463930</v>
      </c>
      <c r="D412" s="57" t="s">
        <v>88</v>
      </c>
      <c r="E412" s="15" t="s">
        <v>13</v>
      </c>
      <c r="F412" s="97">
        <f>21*8</f>
        <v>168</v>
      </c>
      <c r="G412" s="16">
        <v>15</v>
      </c>
      <c r="H412" s="23">
        <f t="shared" si="9"/>
        <v>2520</v>
      </c>
    </row>
    <row r="413" spans="1:8" x14ac:dyDescent="0.2">
      <c r="A413" s="71"/>
      <c r="B413" s="13">
        <v>11</v>
      </c>
      <c r="C413" s="50">
        <v>463876</v>
      </c>
      <c r="D413" s="57" t="s">
        <v>89</v>
      </c>
      <c r="E413" s="15" t="s">
        <v>13</v>
      </c>
      <c r="F413" s="97">
        <f>39*7</f>
        <v>273</v>
      </c>
      <c r="G413" s="16">
        <v>15</v>
      </c>
      <c r="H413" s="23">
        <f t="shared" si="9"/>
        <v>4095</v>
      </c>
    </row>
    <row r="414" spans="1:8" x14ac:dyDescent="0.2">
      <c r="A414" s="71"/>
      <c r="B414" s="13">
        <v>12</v>
      </c>
      <c r="C414" s="50">
        <v>282791</v>
      </c>
      <c r="D414" s="57" t="s">
        <v>90</v>
      </c>
      <c r="E414" s="15" t="s">
        <v>13</v>
      </c>
      <c r="F414" s="97">
        <f>28*8</f>
        <v>224</v>
      </c>
      <c r="G414" s="16">
        <v>15</v>
      </c>
      <c r="H414" s="23">
        <f t="shared" si="9"/>
        <v>3360</v>
      </c>
    </row>
    <row r="415" spans="1:8" x14ac:dyDescent="0.2">
      <c r="A415" s="71"/>
      <c r="B415" s="13">
        <v>13</v>
      </c>
      <c r="C415" s="50">
        <v>463822</v>
      </c>
      <c r="D415" s="57" t="s">
        <v>91</v>
      </c>
      <c r="E415" s="15" t="s">
        <v>13</v>
      </c>
      <c r="F415" s="97">
        <f>163*4</f>
        <v>652</v>
      </c>
      <c r="G415" s="16">
        <v>11.96</v>
      </c>
      <c r="H415" s="23">
        <f t="shared" si="9"/>
        <v>7797.920000000001</v>
      </c>
    </row>
    <row r="416" spans="1:8" x14ac:dyDescent="0.2">
      <c r="A416" s="71"/>
      <c r="B416" s="13">
        <v>14</v>
      </c>
      <c r="C416" s="50">
        <v>464377</v>
      </c>
      <c r="D416" s="57" t="s">
        <v>92</v>
      </c>
      <c r="E416" s="15" t="s">
        <v>13</v>
      </c>
      <c r="F416" s="97">
        <f>155*7</f>
        <v>1085</v>
      </c>
      <c r="G416" s="16">
        <v>7.95</v>
      </c>
      <c r="H416" s="23">
        <f t="shared" si="9"/>
        <v>8625.75</v>
      </c>
    </row>
    <row r="417" spans="1:8" x14ac:dyDescent="0.2">
      <c r="A417" s="71"/>
      <c r="B417" s="13">
        <v>15</v>
      </c>
      <c r="C417" s="50">
        <v>464381</v>
      </c>
      <c r="D417" s="57" t="s">
        <v>93</v>
      </c>
      <c r="E417" s="15" t="s">
        <v>13</v>
      </c>
      <c r="F417" s="97">
        <f>2317*12</f>
        <v>27804</v>
      </c>
      <c r="G417" s="16">
        <v>6.19</v>
      </c>
      <c r="H417" s="23">
        <f t="shared" si="9"/>
        <v>172106.76</v>
      </c>
    </row>
    <row r="418" spans="1:8" x14ac:dyDescent="0.2">
      <c r="A418" s="71"/>
      <c r="B418" s="13">
        <v>16</v>
      </c>
      <c r="C418" s="50">
        <v>463753</v>
      </c>
      <c r="D418" s="57" t="s">
        <v>94</v>
      </c>
      <c r="E418" s="15" t="s">
        <v>13</v>
      </c>
      <c r="F418" s="97">
        <f>185*2</f>
        <v>370</v>
      </c>
      <c r="G418" s="16">
        <v>5.86</v>
      </c>
      <c r="H418" s="23">
        <f t="shared" si="9"/>
        <v>2168.2000000000003</v>
      </c>
    </row>
    <row r="419" spans="1:8" x14ac:dyDescent="0.2">
      <c r="A419" s="71"/>
      <c r="B419" s="13">
        <v>17</v>
      </c>
      <c r="C419" s="58">
        <v>463754</v>
      </c>
      <c r="D419" s="18" t="s">
        <v>95</v>
      </c>
      <c r="E419" s="15" t="s">
        <v>13</v>
      </c>
      <c r="F419" s="97">
        <f>671*10</f>
        <v>6710</v>
      </c>
      <c r="G419" s="16">
        <v>5.67</v>
      </c>
      <c r="H419" s="23">
        <f t="shared" si="9"/>
        <v>38045.699999999997</v>
      </c>
    </row>
    <row r="420" spans="1:8" x14ac:dyDescent="0.2">
      <c r="A420" s="71"/>
      <c r="B420" s="13">
        <v>18</v>
      </c>
      <c r="C420" s="58">
        <v>463767</v>
      </c>
      <c r="D420" s="18" t="s">
        <v>96</v>
      </c>
      <c r="E420" s="15" t="s">
        <v>13</v>
      </c>
      <c r="F420" s="97">
        <f>102*3</f>
        <v>306</v>
      </c>
      <c r="G420" s="16">
        <v>6</v>
      </c>
      <c r="H420" s="23">
        <f t="shared" si="9"/>
        <v>1836</v>
      </c>
    </row>
    <row r="421" spans="1:8" x14ac:dyDescent="0.2">
      <c r="A421" s="71"/>
      <c r="B421" s="13">
        <v>19</v>
      </c>
      <c r="C421" s="58">
        <v>463781</v>
      </c>
      <c r="D421" s="18" t="s">
        <v>97</v>
      </c>
      <c r="E421" s="15" t="s">
        <v>13</v>
      </c>
      <c r="F421" s="97">
        <f>85*10</f>
        <v>850</v>
      </c>
      <c r="G421" s="16">
        <v>4.99</v>
      </c>
      <c r="H421" s="23">
        <f t="shared" si="9"/>
        <v>4241.5</v>
      </c>
    </row>
    <row r="422" spans="1:8" x14ac:dyDescent="0.2">
      <c r="A422" s="71"/>
      <c r="B422" s="13">
        <v>20</v>
      </c>
      <c r="C422" s="58">
        <v>463770</v>
      </c>
      <c r="D422" s="18" t="s">
        <v>98</v>
      </c>
      <c r="E422" s="15" t="s">
        <v>13</v>
      </c>
      <c r="F422" s="97">
        <f>421*11</f>
        <v>4631</v>
      </c>
      <c r="G422" s="16">
        <v>6.03</v>
      </c>
      <c r="H422" s="23">
        <f t="shared" si="9"/>
        <v>27924.93</v>
      </c>
    </row>
    <row r="423" spans="1:8" x14ac:dyDescent="0.2">
      <c r="A423" s="71"/>
      <c r="B423" s="13">
        <v>21</v>
      </c>
      <c r="C423" s="58">
        <v>463778</v>
      </c>
      <c r="D423" s="18" t="s">
        <v>99</v>
      </c>
      <c r="E423" s="15" t="s">
        <v>13</v>
      </c>
      <c r="F423" s="97">
        <f>79*4</f>
        <v>316</v>
      </c>
      <c r="G423" s="16">
        <v>3.99</v>
      </c>
      <c r="H423" s="23">
        <f t="shared" si="9"/>
        <v>1260.8400000000001</v>
      </c>
    </row>
    <row r="424" spans="1:8" x14ac:dyDescent="0.2">
      <c r="A424" s="71"/>
      <c r="B424" s="13">
        <v>22</v>
      </c>
      <c r="C424" s="58">
        <v>463789</v>
      </c>
      <c r="D424" s="18" t="s">
        <v>100</v>
      </c>
      <c r="E424" s="15" t="s">
        <v>13</v>
      </c>
      <c r="F424" s="97">
        <f>288*4</f>
        <v>1152</v>
      </c>
      <c r="G424" s="16">
        <v>7.64</v>
      </c>
      <c r="H424" s="23">
        <f t="shared" si="9"/>
        <v>8801.2799999999988</v>
      </c>
    </row>
    <row r="425" spans="1:8" x14ac:dyDescent="0.2">
      <c r="A425" s="71"/>
      <c r="B425" s="13">
        <v>23</v>
      </c>
      <c r="C425" s="58">
        <v>464393</v>
      </c>
      <c r="D425" s="18" t="s">
        <v>101</v>
      </c>
      <c r="E425" s="15" t="s">
        <v>13</v>
      </c>
      <c r="F425" s="97">
        <f>982*8</f>
        <v>7856</v>
      </c>
      <c r="G425" s="16">
        <v>5.65</v>
      </c>
      <c r="H425" s="23">
        <f t="shared" si="9"/>
        <v>44386.400000000001</v>
      </c>
    </row>
    <row r="426" spans="1:8" x14ac:dyDescent="0.2">
      <c r="A426" s="71"/>
      <c r="B426" s="13">
        <v>24</v>
      </c>
      <c r="C426" s="58">
        <v>464400</v>
      </c>
      <c r="D426" s="18" t="s">
        <v>102</v>
      </c>
      <c r="E426" s="15" t="s">
        <v>13</v>
      </c>
      <c r="F426" s="97">
        <f>1238*6</f>
        <v>7428</v>
      </c>
      <c r="G426" s="16">
        <v>10.91</v>
      </c>
      <c r="H426" s="23">
        <f t="shared" si="9"/>
        <v>81039.48</v>
      </c>
    </row>
    <row r="427" spans="1:8" x14ac:dyDescent="0.2">
      <c r="A427" s="71"/>
      <c r="B427" s="13">
        <v>25</v>
      </c>
      <c r="C427" s="58">
        <v>464436</v>
      </c>
      <c r="D427" s="18" t="s">
        <v>103</v>
      </c>
      <c r="E427" s="15" t="s">
        <v>13</v>
      </c>
      <c r="F427" s="97">
        <f>697*4</f>
        <v>2788</v>
      </c>
      <c r="G427" s="16">
        <v>6.15</v>
      </c>
      <c r="H427" s="23">
        <f t="shared" si="9"/>
        <v>17146.2</v>
      </c>
    </row>
    <row r="428" spans="1:8" x14ac:dyDescent="0.2">
      <c r="A428" s="71"/>
      <c r="B428" s="13">
        <v>26</v>
      </c>
      <c r="C428" s="58">
        <v>234350</v>
      </c>
      <c r="D428" s="18" t="s">
        <v>104</v>
      </c>
      <c r="E428" s="15" t="s">
        <v>105</v>
      </c>
      <c r="F428" s="97">
        <f>620*10</f>
        <v>6200</v>
      </c>
      <c r="G428" s="16">
        <v>23.04</v>
      </c>
      <c r="H428" s="23">
        <f>F428*G428</f>
        <v>142848</v>
      </c>
    </row>
    <row r="429" spans="1:8" x14ac:dyDescent="0.2">
      <c r="A429" s="71"/>
      <c r="B429" s="13">
        <v>27</v>
      </c>
      <c r="C429" s="58">
        <v>463839</v>
      </c>
      <c r="D429" s="18" t="s">
        <v>106</v>
      </c>
      <c r="E429" s="15" t="s">
        <v>13</v>
      </c>
      <c r="F429" s="97">
        <f>239*5</f>
        <v>1195</v>
      </c>
      <c r="G429" s="16">
        <v>4.46</v>
      </c>
      <c r="H429" s="23">
        <f t="shared" si="9"/>
        <v>5329.7</v>
      </c>
    </row>
    <row r="430" spans="1:8" x14ac:dyDescent="0.2">
      <c r="A430" s="71"/>
      <c r="B430" s="13">
        <v>28</v>
      </c>
      <c r="C430" s="58">
        <v>463829</v>
      </c>
      <c r="D430" s="18" t="s">
        <v>107</v>
      </c>
      <c r="E430" s="15" t="s">
        <v>13</v>
      </c>
      <c r="F430" s="97">
        <f>156*3</f>
        <v>468</v>
      </c>
      <c r="G430" s="16">
        <v>5</v>
      </c>
      <c r="H430" s="23">
        <f t="shared" si="9"/>
        <v>2340</v>
      </c>
    </row>
    <row r="431" spans="1:8" x14ac:dyDescent="0.2">
      <c r="A431" s="71"/>
      <c r="B431" s="13">
        <v>29</v>
      </c>
      <c r="C431" s="58">
        <v>463804</v>
      </c>
      <c r="D431" s="18" t="s">
        <v>108</v>
      </c>
      <c r="E431" s="15" t="s">
        <v>13</v>
      </c>
      <c r="F431" s="97">
        <f>1477*10</f>
        <v>14770</v>
      </c>
      <c r="G431" s="16">
        <v>8.6300000000000008</v>
      </c>
      <c r="H431" s="23">
        <f>F431*G431</f>
        <v>127465.1</v>
      </c>
    </row>
    <row r="432" spans="1:8" x14ac:dyDescent="0.2">
      <c r="A432" s="71"/>
      <c r="B432" s="13">
        <v>30</v>
      </c>
      <c r="C432" s="58">
        <v>463809</v>
      </c>
      <c r="D432" s="18" t="s">
        <v>109</v>
      </c>
      <c r="E432" s="15" t="s">
        <v>13</v>
      </c>
      <c r="F432" s="97">
        <f>40*4</f>
        <v>160</v>
      </c>
      <c r="G432" s="16">
        <v>7.5</v>
      </c>
      <c r="H432" s="23">
        <f t="shared" si="9"/>
        <v>1200</v>
      </c>
    </row>
    <row r="433" spans="1:8" x14ac:dyDescent="0.2">
      <c r="A433" s="71"/>
      <c r="B433" s="13">
        <v>31</v>
      </c>
      <c r="C433" s="58">
        <v>463796</v>
      </c>
      <c r="D433" s="18" t="s">
        <v>110</v>
      </c>
      <c r="E433" s="15" t="s">
        <v>13</v>
      </c>
      <c r="F433" s="97">
        <f>163*6</f>
        <v>978</v>
      </c>
      <c r="G433" s="16">
        <v>5.16</v>
      </c>
      <c r="H433" s="23">
        <f t="shared" si="9"/>
        <v>5046.4800000000005</v>
      </c>
    </row>
    <row r="434" spans="1:8" x14ac:dyDescent="0.2">
      <c r="A434" s="71"/>
      <c r="B434" s="13">
        <v>32</v>
      </c>
      <c r="C434" s="58">
        <v>463807</v>
      </c>
      <c r="D434" s="18" t="s">
        <v>111</v>
      </c>
      <c r="E434" s="15" t="s">
        <v>13</v>
      </c>
      <c r="F434" s="97">
        <f>112*2</f>
        <v>224</v>
      </c>
      <c r="G434" s="16">
        <v>11.9</v>
      </c>
      <c r="H434" s="23">
        <f t="shared" si="9"/>
        <v>2665.6</v>
      </c>
    </row>
    <row r="435" spans="1:8" x14ac:dyDescent="0.2">
      <c r="A435" s="71"/>
      <c r="B435" s="13">
        <v>33</v>
      </c>
      <c r="C435" s="58">
        <v>464418</v>
      </c>
      <c r="D435" s="18" t="s">
        <v>112</v>
      </c>
      <c r="E435" s="15" t="s">
        <v>13</v>
      </c>
      <c r="F435" s="97">
        <f>984*6</f>
        <v>5904</v>
      </c>
      <c r="G435" s="16">
        <v>4.33</v>
      </c>
      <c r="H435" s="23">
        <f t="shared" si="9"/>
        <v>25564.32</v>
      </c>
    </row>
    <row r="436" spans="1:8" x14ac:dyDescent="0.2">
      <c r="A436" s="71"/>
      <c r="B436" s="13">
        <v>34</v>
      </c>
      <c r="C436" s="58">
        <v>464370</v>
      </c>
      <c r="D436" s="18" t="s">
        <v>113</v>
      </c>
      <c r="E436" s="15" t="s">
        <v>13</v>
      </c>
      <c r="F436" s="97">
        <f>720*3</f>
        <v>2160</v>
      </c>
      <c r="G436" s="16">
        <v>6.58</v>
      </c>
      <c r="H436" s="23">
        <f t="shared" si="9"/>
        <v>14212.8</v>
      </c>
    </row>
    <row r="437" spans="1:8" x14ac:dyDescent="0.2">
      <c r="A437" s="71"/>
      <c r="B437" s="13">
        <v>35</v>
      </c>
      <c r="C437" s="58">
        <v>464404</v>
      </c>
      <c r="D437" s="18" t="s">
        <v>114</v>
      </c>
      <c r="E437" s="15" t="s">
        <v>13</v>
      </c>
      <c r="F437" s="97">
        <f>984*6</f>
        <v>5904</v>
      </c>
      <c r="G437" s="16">
        <v>7.51</v>
      </c>
      <c r="H437" s="23">
        <f t="shared" si="9"/>
        <v>44339.040000000001</v>
      </c>
    </row>
    <row r="438" spans="1:8" x14ac:dyDescent="0.2">
      <c r="A438" s="71"/>
      <c r="B438" s="13">
        <v>36</v>
      </c>
      <c r="C438" s="58">
        <v>464392</v>
      </c>
      <c r="D438" s="18" t="s">
        <v>115</v>
      </c>
      <c r="E438" s="15" t="s">
        <v>13</v>
      </c>
      <c r="F438" s="97">
        <f>984*6</f>
        <v>5904</v>
      </c>
      <c r="G438" s="16">
        <v>7.69</v>
      </c>
      <c r="H438" s="23">
        <f t="shared" si="9"/>
        <v>45401.760000000002</v>
      </c>
    </row>
    <row r="439" spans="1:8" x14ac:dyDescent="0.2">
      <c r="A439" s="71"/>
      <c r="B439" s="13">
        <v>37</v>
      </c>
      <c r="C439" s="58">
        <v>464374</v>
      </c>
      <c r="D439" s="18" t="s">
        <v>116</v>
      </c>
      <c r="E439" s="15" t="s">
        <v>13</v>
      </c>
      <c r="F439" s="97">
        <f>521*6</f>
        <v>3126</v>
      </c>
      <c r="G439" s="16">
        <v>7.8</v>
      </c>
      <c r="H439" s="23">
        <f t="shared" si="9"/>
        <v>24382.799999999999</v>
      </c>
    </row>
    <row r="440" spans="1:8" x14ac:dyDescent="0.2">
      <c r="A440" s="71"/>
      <c r="B440" s="13">
        <v>38</v>
      </c>
      <c r="C440" s="58">
        <v>463797</v>
      </c>
      <c r="D440" s="18" t="s">
        <v>117</v>
      </c>
      <c r="E440" s="15" t="s">
        <v>13</v>
      </c>
      <c r="F440" s="97">
        <f>1547*2</f>
        <v>3094</v>
      </c>
      <c r="G440" s="16">
        <v>8.61</v>
      </c>
      <c r="H440" s="23">
        <f t="shared" si="9"/>
        <v>26639.339999999997</v>
      </c>
    </row>
    <row r="441" spans="1:8" x14ac:dyDescent="0.2">
      <c r="A441" s="71"/>
      <c r="B441" s="13">
        <v>39</v>
      </c>
      <c r="C441" s="58">
        <v>464398</v>
      </c>
      <c r="D441" s="18" t="s">
        <v>118</v>
      </c>
      <c r="E441" s="15" t="s">
        <v>13</v>
      </c>
      <c r="F441" s="97">
        <f>70*6</f>
        <v>420</v>
      </c>
      <c r="G441" s="16">
        <v>6.71</v>
      </c>
      <c r="H441" s="23">
        <f t="shared" si="9"/>
        <v>2818.2</v>
      </c>
    </row>
    <row r="442" spans="1:8" ht="13.5" thickBot="1" x14ac:dyDescent="0.25">
      <c r="A442" s="71"/>
      <c r="B442" s="13">
        <v>40</v>
      </c>
      <c r="C442" s="58">
        <v>463898</v>
      </c>
      <c r="D442" s="18" t="s">
        <v>119</v>
      </c>
      <c r="E442" s="15" t="s">
        <v>13</v>
      </c>
      <c r="F442" s="97">
        <f>60*4</f>
        <v>240</v>
      </c>
      <c r="G442" s="64">
        <v>12.9</v>
      </c>
      <c r="H442" s="23">
        <f>F442*G442</f>
        <v>3096</v>
      </c>
    </row>
    <row r="443" spans="1:8" ht="13.5" thickBot="1" x14ac:dyDescent="0.25">
      <c r="A443" s="67" t="s">
        <v>46</v>
      </c>
      <c r="B443" s="68"/>
      <c r="C443" s="68"/>
      <c r="D443" s="68"/>
      <c r="E443" s="68"/>
      <c r="F443" s="68"/>
      <c r="G443" s="69"/>
      <c r="H443" s="20">
        <f>SUM(H403:H442)</f>
        <v>959945.72</v>
      </c>
    </row>
    <row r="444" spans="1:8" x14ac:dyDescent="0.2">
      <c r="A444" s="3"/>
      <c r="B444" s="3"/>
      <c r="C444" s="3"/>
      <c r="D444" s="3"/>
      <c r="E444" s="3"/>
      <c r="F444" s="3"/>
      <c r="G444" s="4"/>
      <c r="H444" s="35"/>
    </row>
    <row r="445" spans="1:8" x14ac:dyDescent="0.2">
      <c r="A445" s="36" t="s">
        <v>65</v>
      </c>
      <c r="B445" s="37"/>
      <c r="C445" s="37"/>
      <c r="D445" s="37"/>
      <c r="E445" s="37"/>
      <c r="F445" s="37"/>
      <c r="G445" s="38"/>
      <c r="H445" s="39"/>
    </row>
    <row r="446" spans="1:8" ht="13.5" thickBot="1" x14ac:dyDescent="0.25"/>
    <row r="447" spans="1:8" ht="13.5" thickBot="1" x14ac:dyDescent="0.25">
      <c r="E447" s="67" t="s">
        <v>66</v>
      </c>
      <c r="F447" s="69"/>
      <c r="G447" s="40"/>
    </row>
    <row r="448" spans="1:8" ht="13.5" thickBot="1" x14ac:dyDescent="0.25">
      <c r="E448" s="2" t="s">
        <v>67</v>
      </c>
      <c r="F448" s="41" t="s">
        <v>10</v>
      </c>
      <c r="G448" s="4"/>
    </row>
    <row r="449" spans="5:8" ht="15" x14ac:dyDescent="0.25">
      <c r="E449" s="42" t="s">
        <v>68</v>
      </c>
      <c r="F449" s="43">
        <f>H47</f>
        <v>6565931.7200000007</v>
      </c>
      <c r="H449" s="65"/>
    </row>
    <row r="450" spans="5:8" ht="15" x14ac:dyDescent="0.25">
      <c r="E450" s="44" t="s">
        <v>69</v>
      </c>
      <c r="F450" s="45">
        <f>H91</f>
        <v>677135.51000000013</v>
      </c>
      <c r="H450" s="65"/>
    </row>
    <row r="451" spans="5:8" ht="15" x14ac:dyDescent="0.25">
      <c r="E451" s="44" t="s">
        <v>70</v>
      </c>
      <c r="F451" s="45">
        <f>H135</f>
        <v>1047537.8600000003</v>
      </c>
      <c r="H451" s="65"/>
    </row>
    <row r="452" spans="5:8" ht="15" x14ac:dyDescent="0.25">
      <c r="E452" s="44" t="s">
        <v>71</v>
      </c>
      <c r="F452" s="45">
        <f>H179</f>
        <v>683820.41999999993</v>
      </c>
      <c r="H452" s="65"/>
    </row>
    <row r="453" spans="5:8" ht="15" x14ac:dyDescent="0.25">
      <c r="E453" s="44" t="s">
        <v>72</v>
      </c>
      <c r="F453" s="45">
        <f>H223</f>
        <v>1272199.6499999999</v>
      </c>
      <c r="H453" s="65"/>
    </row>
    <row r="454" spans="5:8" ht="15" x14ac:dyDescent="0.25">
      <c r="E454" s="44" t="s">
        <v>73</v>
      </c>
      <c r="F454" s="45">
        <f>H267</f>
        <v>1051710.6600000001</v>
      </c>
      <c r="H454" s="65"/>
    </row>
    <row r="455" spans="5:8" ht="15" x14ac:dyDescent="0.25">
      <c r="E455" s="44" t="s">
        <v>74</v>
      </c>
      <c r="F455" s="45">
        <f>H311</f>
        <v>1340984.8</v>
      </c>
      <c r="H455" s="65"/>
    </row>
    <row r="456" spans="5:8" ht="15" x14ac:dyDescent="0.25">
      <c r="E456" s="44" t="s">
        <v>75</v>
      </c>
      <c r="F456" s="45">
        <f>H355</f>
        <v>1117225.58</v>
      </c>
      <c r="H456" s="65"/>
    </row>
    <row r="457" spans="5:8" ht="15" x14ac:dyDescent="0.25">
      <c r="E457" s="44" t="s">
        <v>76</v>
      </c>
      <c r="F457" s="45">
        <f>H399</f>
        <v>1908296.2500000005</v>
      </c>
      <c r="H457" s="65"/>
    </row>
    <row r="458" spans="5:8" ht="15.75" thickBot="1" x14ac:dyDescent="0.3">
      <c r="E458" s="46" t="s">
        <v>77</v>
      </c>
      <c r="F458" s="47">
        <f>H443</f>
        <v>959945.72</v>
      </c>
      <c r="H458" s="65"/>
    </row>
    <row r="459" spans="5:8" ht="13.5" thickBot="1" x14ac:dyDescent="0.25">
      <c r="E459" s="41" t="s">
        <v>46</v>
      </c>
      <c r="F459" s="20">
        <f>SUM(F449:F458)</f>
        <v>16624788.170000004</v>
      </c>
      <c r="H459" s="66"/>
    </row>
  </sheetData>
  <sheetProtection algorithmName="SHA-512" hashValue="1Ncet5jJC+EOyCHZZ8WpJGsxep2AB482WpXbZblMUAIkGSD3r1oi9R/RxL8ltkQsgoDtJQ42nTi1O8q0DdwEyg==" saltValue="2ZkfW7/jSBH/S14k74Qh7w==" spinCount="100000" sheet="1" objects="1" scenarios="1"/>
  <autoFilter ref="D1:D459" xr:uid="{18DA7A48-10C6-4347-8F57-8A125E9D2E77}"/>
  <mergeCells count="24">
    <mergeCell ref="A183:A222"/>
    <mergeCell ref="A1:H1"/>
    <mergeCell ref="A2:H2"/>
    <mergeCell ref="A3:H3"/>
    <mergeCell ref="A7:A46"/>
    <mergeCell ref="A47:G47"/>
    <mergeCell ref="A51:A90"/>
    <mergeCell ref="A91:G91"/>
    <mergeCell ref="A95:A134"/>
    <mergeCell ref="A135:G135"/>
    <mergeCell ref="A139:A178"/>
    <mergeCell ref="A179:G179"/>
    <mergeCell ref="E447:F447"/>
    <mergeCell ref="A223:G223"/>
    <mergeCell ref="A227:A266"/>
    <mergeCell ref="A267:G267"/>
    <mergeCell ref="A271:A310"/>
    <mergeCell ref="A311:G311"/>
    <mergeCell ref="A315:A354"/>
    <mergeCell ref="A355:G355"/>
    <mergeCell ref="A359:A398"/>
    <mergeCell ref="A399:G399"/>
    <mergeCell ref="A403:A442"/>
    <mergeCell ref="A443:G443"/>
  </mergeCells>
  <pageMargins left="0.511811024" right="0.511811024" top="0.78740157499999996" bottom="0.78740157499999996" header="0.31496062000000002" footer="0.31496062000000002"/>
  <pageSetup paperSize="9" scale="58" fitToHeight="0" orientation="portrait" r:id="rId1"/>
  <rowBreaks count="8" manualBreakCount="8">
    <brk id="91" max="6" man="1"/>
    <brk id="135" max="6" man="1"/>
    <brk id="179" max="6" man="1"/>
    <brk id="223" max="6" man="1"/>
    <brk id="267" max="6" man="1"/>
    <brk id="311" max="6" man="1"/>
    <brk id="355" max="6" man="1"/>
    <brk id="39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ESTOCAVEIS</vt:lpstr>
      <vt:lpstr>HORTIFRUTI</vt:lpstr>
      <vt:lpstr>ESTOCAVEIS!Area_de_impressao</vt:lpstr>
      <vt:lpstr>HORTIFRUTI!Area_de_impressao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Laiza Sulti Medeiros</dc:creator>
  <cp:lastModifiedBy>Laiza Sulti Medeiros</cp:lastModifiedBy>
  <dcterms:created xsi:type="dcterms:W3CDTF">2026-04-15T14:10:16Z</dcterms:created>
  <dcterms:modified xsi:type="dcterms:W3CDTF">2026-04-16T17:30:50Z</dcterms:modified>
</cp:coreProperties>
</file>