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eesalves\Desktop\"/>
    </mc:Choice>
  </mc:AlternateContent>
  <xr:revisionPtr revIDLastSave="0" documentId="13_ncr:1_{EAC0F3DA-0532-4D86-98A0-6AA375928F3F}" xr6:coauthVersionLast="47" xr6:coauthVersionMax="47" xr10:uidLastSave="{00000000-0000-0000-0000-000000000000}"/>
  <bookViews>
    <workbookView xWindow="28680" yWindow="-120" windowWidth="29040" windowHeight="15720" firstSheet="1" activeTab="2" xr2:uid="{72160080-7805-4999-8475-F0AE79E3AB3B}"/>
  </bookViews>
  <sheets>
    <sheet name="PCA 2025-Novas-V20-04.12" sheetId="39" r:id="rId1"/>
    <sheet name="PCA 2025-And-Prorr-V20-04.12" sheetId="40" r:id="rId2"/>
    <sheet name="PCA 2025-Desc-V20-04.12" sheetId="45" r:id="rId3"/>
  </sheets>
  <definedNames>
    <definedName name="_xlnm._FilterDatabase" localSheetId="1" hidden="1">'PCA 2025-And-Prorr-V20-04.12'!$A$3:$BV$468</definedName>
    <definedName name="_xlnm._FilterDatabase" localSheetId="2" hidden="1">'PCA 2025-Desc-V20-04.12'!$A$3:$BV$8</definedName>
    <definedName name="_xlnm._FilterDatabase" localSheetId="0" hidden="1">'PCA 2025-Novas-V20-04.12'!$A$3:$BY$518</definedName>
    <definedName name="_xlnm.Print_Area" localSheetId="1">'PCA 2025-And-Prorr-V20-04.12'!$A$1:$BV$465</definedName>
    <definedName name="_xlnm.Print_Area" localSheetId="2">'PCA 2025-Desc-V20-04.12'!$A$1:$BV$8</definedName>
    <definedName name="_xlnm.Print_Area" localSheetId="0">'PCA 2025-Novas-V20-04.12'!$A$1:$CA$518</definedName>
    <definedName name="_xlnm.Print_Titles" localSheetId="1">'PCA 2025-And-Prorr-V20-04.12'!$1:$3</definedName>
    <definedName name="_xlnm.Print_Titles" localSheetId="2">'PCA 2025-Desc-V20-04.12'!$1:$3</definedName>
    <definedName name="_xlnm.Print_Titles" localSheetId="0">'PCA 2025-Novas-V20-04.12'!$1:$3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T6" i="45" l="1"/>
  <c r="BV6" i="45" s="1"/>
  <c r="M182" i="39"/>
  <c r="L182" i="39"/>
  <c r="M149" i="39"/>
  <c r="L149" i="39"/>
  <c r="BU6" i="45" l="1"/>
  <c r="BT5" i="45"/>
  <c r="BV5" i="45" s="1"/>
  <c r="BT4" i="45"/>
  <c r="BU4" i="45" s="1"/>
  <c r="M171" i="39"/>
  <c r="L171" i="39"/>
  <c r="M169" i="39"/>
  <c r="L169" i="39"/>
  <c r="M35" i="39"/>
  <c r="M39" i="39"/>
  <c r="M174" i="39"/>
  <c r="M161" i="39"/>
  <c r="M21" i="39"/>
  <c r="M227" i="39"/>
  <c r="L227" i="39"/>
  <c r="L246" i="39"/>
  <c r="BV4" i="45" l="1"/>
  <c r="BU5" i="45"/>
  <c r="M504" i="39"/>
  <c r="L504" i="39"/>
  <c r="M220" i="39"/>
  <c r="L164" i="39"/>
  <c r="M135" i="39"/>
  <c r="L135" i="39"/>
  <c r="M153" i="39"/>
  <c r="M162" i="39"/>
  <c r="M164" i="39" l="1"/>
  <c r="M245" i="39"/>
  <c r="L245" i="39"/>
  <c r="J246" i="39"/>
  <c r="M158" i="39"/>
  <c r="L158" i="39"/>
  <c r="L162" i="39"/>
  <c r="M156" i="39"/>
  <c r="L156" i="39"/>
  <c r="M173" i="39"/>
  <c r="M152" i="39"/>
  <c r="L152" i="39"/>
  <c r="M73" i="39"/>
  <c r="L73" i="39"/>
  <c r="M70" i="39"/>
  <c r="L70" i="39"/>
  <c r="M82" i="39"/>
  <c r="L82" i="39"/>
  <c r="M75" i="39"/>
  <c r="L75" i="39"/>
  <c r="CA76" i="39"/>
  <c r="M74" i="39"/>
  <c r="L74" i="39"/>
  <c r="CC76" i="39" l="1"/>
  <c r="CB76" i="39"/>
  <c r="M114" i="39" l="1"/>
  <c r="L114" i="39"/>
  <c r="L468" i="40"/>
  <c r="M467" i="40"/>
  <c r="BT466" i="40"/>
  <c r="BU466" i="40" s="1"/>
  <c r="M465" i="40"/>
  <c r="R465" i="40" s="1"/>
  <c r="BT465" i="40" s="1"/>
  <c r="BT464" i="40"/>
  <c r="BV464" i="40" s="1"/>
  <c r="BT463" i="40"/>
  <c r="BV463" i="40" s="1"/>
  <c r="BT462" i="40"/>
  <c r="BU462" i="40" s="1"/>
  <c r="BT461" i="40"/>
  <c r="BV461" i="40" s="1"/>
  <c r="BT460" i="40"/>
  <c r="BV460" i="40" s="1"/>
  <c r="BT459" i="40"/>
  <c r="BU459" i="40" s="1"/>
  <c r="BT458" i="40"/>
  <c r="BU458" i="40" s="1"/>
  <c r="BT457" i="40"/>
  <c r="BV457" i="40" s="1"/>
  <c r="BT456" i="40"/>
  <c r="BV456" i="40" s="1"/>
  <c r="BT455" i="40"/>
  <c r="BV455" i="40" s="1"/>
  <c r="BT454" i="40"/>
  <c r="BU454" i="40" s="1"/>
  <c r="BT453" i="40"/>
  <c r="BV453" i="40" s="1"/>
  <c r="BT452" i="40"/>
  <c r="BV452" i="40" s="1"/>
  <c r="BT451" i="40"/>
  <c r="BV451" i="40" s="1"/>
  <c r="BT450" i="40"/>
  <c r="BU450" i="40" s="1"/>
  <c r="BT449" i="40"/>
  <c r="BV449" i="40" s="1"/>
  <c r="BT448" i="40"/>
  <c r="BV448" i="40" s="1"/>
  <c r="BT447" i="40"/>
  <c r="BU447" i="40" s="1"/>
  <c r="BT446" i="40"/>
  <c r="BU446" i="40" s="1"/>
  <c r="BT445" i="40"/>
  <c r="BV445" i="40" s="1"/>
  <c r="BT444" i="40"/>
  <c r="BV444" i="40" s="1"/>
  <c r="BT443" i="40"/>
  <c r="BV443" i="40" s="1"/>
  <c r="BT442" i="40"/>
  <c r="BU442" i="40" s="1"/>
  <c r="BT441" i="40"/>
  <c r="BV441" i="40" s="1"/>
  <c r="BT440" i="40"/>
  <c r="BV440" i="40" s="1"/>
  <c r="BT439" i="40"/>
  <c r="BV439" i="40" s="1"/>
  <c r="BT438" i="40"/>
  <c r="BU438" i="40" s="1"/>
  <c r="BT437" i="40"/>
  <c r="BV437" i="40" s="1"/>
  <c r="BT436" i="40"/>
  <c r="BV436" i="40" s="1"/>
  <c r="BT435" i="40"/>
  <c r="BU435" i="40" s="1"/>
  <c r="BT434" i="40"/>
  <c r="BU434" i="40" s="1"/>
  <c r="BT433" i="40"/>
  <c r="BV433" i="40" s="1"/>
  <c r="BT432" i="40"/>
  <c r="BV432" i="40" s="1"/>
  <c r="BT431" i="40"/>
  <c r="BU431" i="40" s="1"/>
  <c r="BT430" i="40"/>
  <c r="BU430" i="40" s="1"/>
  <c r="BT429" i="40"/>
  <c r="BV429" i="40" s="1"/>
  <c r="BT428" i="40"/>
  <c r="BV428" i="40" s="1"/>
  <c r="BT427" i="40"/>
  <c r="BV427" i="40" s="1"/>
  <c r="BT426" i="40"/>
  <c r="BU426" i="40" s="1"/>
  <c r="BT425" i="40"/>
  <c r="BV425" i="40" s="1"/>
  <c r="BT424" i="40"/>
  <c r="BV424" i="40" s="1"/>
  <c r="BT423" i="40"/>
  <c r="BU423" i="40" s="1"/>
  <c r="BT422" i="40"/>
  <c r="BU422" i="40" s="1"/>
  <c r="BT421" i="40"/>
  <c r="BV421" i="40" s="1"/>
  <c r="AZ421" i="40"/>
  <c r="AN421" i="40"/>
  <c r="BT420" i="40"/>
  <c r="BV420" i="40" s="1"/>
  <c r="BT419" i="40"/>
  <c r="BV419" i="40" s="1"/>
  <c r="BT418" i="40"/>
  <c r="BV418" i="40" s="1"/>
  <c r="BT417" i="40"/>
  <c r="BU417" i="40" s="1"/>
  <c r="BT416" i="40"/>
  <c r="BV416" i="40" s="1"/>
  <c r="BT415" i="40"/>
  <c r="BV415" i="40" s="1"/>
  <c r="BT414" i="40"/>
  <c r="BV414" i="40" s="1"/>
  <c r="BT413" i="40"/>
  <c r="BU413" i="40" s="1"/>
  <c r="BT412" i="40"/>
  <c r="BV412" i="40" s="1"/>
  <c r="BT411" i="40"/>
  <c r="BV411" i="40" s="1"/>
  <c r="BT410" i="40"/>
  <c r="M410" i="40"/>
  <c r="L410" i="40"/>
  <c r="BT409" i="40"/>
  <c r="BT408" i="40"/>
  <c r="BU408" i="40" s="1"/>
  <c r="BT407" i="40"/>
  <c r="BU407" i="40" s="1"/>
  <c r="BT406" i="40"/>
  <c r="BU406" i="40" s="1"/>
  <c r="BT405" i="40"/>
  <c r="BT404" i="40"/>
  <c r="BU404" i="40" s="1"/>
  <c r="BT402" i="40"/>
  <c r="BU402" i="40" s="1"/>
  <c r="BT401" i="40"/>
  <c r="BU401" i="40" s="1"/>
  <c r="BT400" i="40"/>
  <c r="BT399" i="40"/>
  <c r="BU399" i="40" s="1"/>
  <c r="BT398" i="40"/>
  <c r="BU398" i="40" s="1"/>
  <c r="BT397" i="40"/>
  <c r="BV397" i="40" s="1"/>
  <c r="BT396" i="40"/>
  <c r="BT395" i="40"/>
  <c r="BU395" i="40" s="1"/>
  <c r="BT394" i="40"/>
  <c r="BU394" i="40" s="1"/>
  <c r="BT393" i="40"/>
  <c r="BU393" i="40" s="1"/>
  <c r="BT392" i="40"/>
  <c r="BT391" i="40"/>
  <c r="BU391" i="40" s="1"/>
  <c r="BT390" i="40"/>
  <c r="BU390" i="40" s="1"/>
  <c r="BT389" i="40"/>
  <c r="BU389" i="40" s="1"/>
  <c r="BT388" i="40"/>
  <c r="BT387" i="40"/>
  <c r="BU387" i="40" s="1"/>
  <c r="BT386" i="40"/>
  <c r="BU386" i="40" s="1"/>
  <c r="BT385" i="40"/>
  <c r="BV385" i="40" s="1"/>
  <c r="BT384" i="40"/>
  <c r="BT383" i="40"/>
  <c r="BU383" i="40" s="1"/>
  <c r="BT382" i="40"/>
  <c r="BV382" i="40" s="1"/>
  <c r="BT381" i="40"/>
  <c r="BU381" i="40" s="1"/>
  <c r="BT380" i="40"/>
  <c r="BT379" i="40"/>
  <c r="BU379" i="40" s="1"/>
  <c r="BT378" i="40"/>
  <c r="BV378" i="40" s="1"/>
  <c r="BT377" i="40"/>
  <c r="BU377" i="40" s="1"/>
  <c r="BT376" i="40"/>
  <c r="BT375" i="40"/>
  <c r="BU375" i="40" s="1"/>
  <c r="BT374" i="40"/>
  <c r="BV374" i="40" s="1"/>
  <c r="BT373" i="40"/>
  <c r="BV373" i="40" s="1"/>
  <c r="BT372" i="40"/>
  <c r="BT371" i="40"/>
  <c r="BU371" i="40" s="1"/>
  <c r="BT370" i="40"/>
  <c r="BV370" i="40" s="1"/>
  <c r="BT369" i="40"/>
  <c r="BV369" i="40" s="1"/>
  <c r="BT368" i="40"/>
  <c r="BT367" i="40"/>
  <c r="BU367" i="40" s="1"/>
  <c r="BT366" i="40"/>
  <c r="BV366" i="40" s="1"/>
  <c r="BT365" i="40"/>
  <c r="BV365" i="40" s="1"/>
  <c r="BT364" i="40"/>
  <c r="BT363" i="40"/>
  <c r="BU363" i="40" s="1"/>
  <c r="BT362" i="40"/>
  <c r="BV362" i="40" s="1"/>
  <c r="BT361" i="40"/>
  <c r="BV361" i="40" s="1"/>
  <c r="BT360" i="40"/>
  <c r="BT359" i="40"/>
  <c r="BU359" i="40" s="1"/>
  <c r="BT358" i="40"/>
  <c r="BV358" i="40" s="1"/>
  <c r="BT357" i="40"/>
  <c r="BV357" i="40" s="1"/>
  <c r="BT356" i="40"/>
  <c r="BT355" i="40"/>
  <c r="BU355" i="40" s="1"/>
  <c r="BT354" i="40"/>
  <c r="BV354" i="40" s="1"/>
  <c r="BT353" i="40"/>
  <c r="BU353" i="40" s="1"/>
  <c r="S250" i="40"/>
  <c r="BT352" i="40" s="1"/>
  <c r="BT351" i="40"/>
  <c r="BV351" i="40" s="1"/>
  <c r="BT350" i="40"/>
  <c r="BV350" i="40" s="1"/>
  <c r="BT349" i="40"/>
  <c r="BU349" i="40" s="1"/>
  <c r="AF245" i="40"/>
  <c r="BT348" i="40" s="1"/>
  <c r="BV348" i="40" s="1"/>
  <c r="BT347" i="40"/>
  <c r="BV347" i="40" s="1"/>
  <c r="BT346" i="40"/>
  <c r="BV346" i="40" s="1"/>
  <c r="S242" i="40"/>
  <c r="BT345" i="40" s="1"/>
  <c r="BT344" i="40"/>
  <c r="BU344" i="40" s="1"/>
  <c r="BT343" i="40"/>
  <c r="BV343" i="40" s="1"/>
  <c r="BT342" i="40"/>
  <c r="BU342" i="40" s="1"/>
  <c r="P239" i="40"/>
  <c r="BT341" i="40" s="1"/>
  <c r="P238" i="40"/>
  <c r="BT340" i="40" s="1"/>
  <c r="BV340" i="40" s="1"/>
  <c r="BT339" i="40"/>
  <c r="BV339" i="40" s="1"/>
  <c r="BT338" i="40"/>
  <c r="BU338" i="40" s="1"/>
  <c r="BT337" i="40"/>
  <c r="BV337" i="40" s="1"/>
  <c r="BT336" i="40"/>
  <c r="BV336" i="40" s="1"/>
  <c r="AE231" i="40"/>
  <c r="BT335" i="40" s="1"/>
  <c r="BV335" i="40" s="1"/>
  <c r="BT334" i="40"/>
  <c r="S202" i="40"/>
  <c r="BT333" i="40" s="1"/>
  <c r="BU333" i="40" s="1"/>
  <c r="BT332" i="40"/>
  <c r="BV332" i="40" s="1"/>
  <c r="S102" i="40"/>
  <c r="BT331" i="40" s="1"/>
  <c r="BT330" i="40"/>
  <c r="BV330" i="40" s="1"/>
  <c r="BT329" i="40"/>
  <c r="BV329" i="40" s="1"/>
  <c r="BT328" i="40"/>
  <c r="BV328" i="40" s="1"/>
  <c r="BE68" i="40"/>
  <c r="BT327" i="40" s="1"/>
  <c r="BT326" i="40"/>
  <c r="BU326" i="40" s="1"/>
  <c r="BT325" i="40"/>
  <c r="BU325" i="40" s="1"/>
  <c r="BT324" i="40"/>
  <c r="BV324" i="40" s="1"/>
  <c r="BT323" i="40"/>
  <c r="BT322" i="40"/>
  <c r="BU322" i="40" s="1"/>
  <c r="BT321" i="40"/>
  <c r="BU321" i="40" s="1"/>
  <c r="V320" i="40"/>
  <c r="BT320" i="40" s="1"/>
  <c r="BT319" i="40"/>
  <c r="BV319" i="40" s="1"/>
  <c r="BT318" i="40"/>
  <c r="BV318" i="40" s="1"/>
  <c r="BT317" i="40"/>
  <c r="BV317" i="40" s="1"/>
  <c r="BT316" i="40"/>
  <c r="BV316" i="40" s="1"/>
  <c r="BT315" i="40"/>
  <c r="BV315" i="40" s="1"/>
  <c r="BT314" i="40"/>
  <c r="BV314" i="40" s="1"/>
  <c r="BT313" i="40"/>
  <c r="BV313" i="40" s="1"/>
  <c r="BT312" i="40"/>
  <c r="BU312" i="40" s="1"/>
  <c r="BT311" i="40"/>
  <c r="BV311" i="40" s="1"/>
  <c r="BT310" i="40"/>
  <c r="BV310" i="40" s="1"/>
  <c r="BT309" i="40"/>
  <c r="BV309" i="40" s="1"/>
  <c r="BT308" i="40"/>
  <c r="BU308" i="40" s="1"/>
  <c r="BT307" i="40"/>
  <c r="BV307" i="40" s="1"/>
  <c r="BT306" i="40"/>
  <c r="BV306" i="40" s="1"/>
  <c r="BT305" i="40"/>
  <c r="BV305" i="40" s="1"/>
  <c r="BT304" i="40"/>
  <c r="BV304" i="40" s="1"/>
  <c r="BT303" i="40"/>
  <c r="BV303" i="40" s="1"/>
  <c r="BT302" i="40"/>
  <c r="BV302" i="40" s="1"/>
  <c r="BT301" i="40"/>
  <c r="BV301" i="40" s="1"/>
  <c r="BT300" i="40"/>
  <c r="BV300" i="40" s="1"/>
  <c r="BT299" i="40"/>
  <c r="BV299" i="40" s="1"/>
  <c r="BT298" i="40"/>
  <c r="BV298" i="40" s="1"/>
  <c r="BT297" i="40"/>
  <c r="BV297" i="40" s="1"/>
  <c r="BT296" i="40"/>
  <c r="BV296" i="40" s="1"/>
  <c r="BT295" i="40"/>
  <c r="BV295" i="40" s="1"/>
  <c r="BT294" i="40"/>
  <c r="BV294" i="40" s="1"/>
  <c r="BT293" i="40"/>
  <c r="BV293" i="40" s="1"/>
  <c r="BT292" i="40"/>
  <c r="BV292" i="40" s="1"/>
  <c r="BT291" i="40"/>
  <c r="BV291" i="40" s="1"/>
  <c r="BT290" i="40"/>
  <c r="BV290" i="40" s="1"/>
  <c r="BT289" i="40"/>
  <c r="BV289" i="40" s="1"/>
  <c r="BT288" i="40"/>
  <c r="BV288" i="40" s="1"/>
  <c r="BT287" i="40"/>
  <c r="BV287" i="40" s="1"/>
  <c r="BT286" i="40"/>
  <c r="BV286" i="40" s="1"/>
  <c r="BT285" i="40"/>
  <c r="BV285" i="40" s="1"/>
  <c r="P284" i="40"/>
  <c r="BT284" i="40" s="1"/>
  <c r="P283" i="40"/>
  <c r="BT283" i="40" s="1"/>
  <c r="P282" i="40"/>
  <c r="BT282" i="40" s="1"/>
  <c r="BT281" i="40"/>
  <c r="BU281" i="40" s="1"/>
  <c r="AF280" i="40"/>
  <c r="BT280" i="40" s="1"/>
  <c r="BV280" i="40" s="1"/>
  <c r="BT279" i="40"/>
  <c r="BV279" i="40" s="1"/>
  <c r="AF278" i="40"/>
  <c r="BT278" i="40" s="1"/>
  <c r="BV278" i="40" s="1"/>
  <c r="AE277" i="40"/>
  <c r="BT277" i="40" s="1"/>
  <c r="P276" i="40"/>
  <c r="BT276" i="40" s="1"/>
  <c r="P275" i="40"/>
  <c r="BT275" i="40" s="1"/>
  <c r="BV275" i="40" s="1"/>
  <c r="P274" i="40"/>
  <c r="BT274" i="40" s="1"/>
  <c r="P273" i="40"/>
  <c r="BT273" i="40" s="1"/>
  <c r="BV273" i="40" s="1"/>
  <c r="BT272" i="40"/>
  <c r="BV272" i="40" s="1"/>
  <c r="P271" i="40"/>
  <c r="BT271" i="40" s="1"/>
  <c r="BT270" i="40"/>
  <c r="BU270" i="40" s="1"/>
  <c r="BT269" i="40"/>
  <c r="BU269" i="40" s="1"/>
  <c r="BT268" i="40"/>
  <c r="BV268" i="40" s="1"/>
  <c r="BT267" i="40"/>
  <c r="BT266" i="40"/>
  <c r="BT265" i="40"/>
  <c r="BU265" i="40" s="1"/>
  <c r="BT264" i="40"/>
  <c r="BV264" i="40" s="1"/>
  <c r="BT263" i="40"/>
  <c r="AF262" i="40"/>
  <c r="BT262" i="40" s="1"/>
  <c r="BU262" i="40" s="1"/>
  <c r="P261" i="40"/>
  <c r="BT261" i="40" s="1"/>
  <c r="AF260" i="40"/>
  <c r="BT260" i="40" s="1"/>
  <c r="P259" i="40"/>
  <c r="BT259" i="40" s="1"/>
  <c r="BU259" i="40" s="1"/>
  <c r="BT258" i="40"/>
  <c r="BV258" i="40" s="1"/>
  <c r="P257" i="40"/>
  <c r="BT257" i="40" s="1"/>
  <c r="P256" i="40"/>
  <c r="BT256" i="40" s="1"/>
  <c r="BU256" i="40" s="1"/>
  <c r="P255" i="40"/>
  <c r="BT255" i="40" s="1"/>
  <c r="P254" i="40"/>
  <c r="BT254" i="40" s="1"/>
  <c r="AF253" i="40"/>
  <c r="BT253" i="40" s="1"/>
  <c r="BU253" i="40" s="1"/>
  <c r="P252" i="40"/>
  <c r="BT252" i="40" s="1"/>
  <c r="BT251" i="40"/>
  <c r="BV251" i="40" s="1"/>
  <c r="BT250" i="40"/>
  <c r="BT249" i="40"/>
  <c r="BV249" i="40" s="1"/>
  <c r="BT248" i="40"/>
  <c r="BV248" i="40" s="1"/>
  <c r="BT247" i="40"/>
  <c r="BV247" i="40" s="1"/>
  <c r="BT246" i="40"/>
  <c r="BV246" i="40" s="1"/>
  <c r="BT245" i="40"/>
  <c r="BV245" i="40" s="1"/>
  <c r="BT244" i="40"/>
  <c r="BV244" i="40" s="1"/>
  <c r="BT243" i="40"/>
  <c r="BU243" i="40" s="1"/>
  <c r="BT242" i="40"/>
  <c r="BV242" i="40" s="1"/>
  <c r="BT241" i="40"/>
  <c r="BV241" i="40" s="1"/>
  <c r="BT240" i="40"/>
  <c r="BV240" i="40" s="1"/>
  <c r="BT239" i="40"/>
  <c r="BU239" i="40" s="1"/>
  <c r="BT238" i="40"/>
  <c r="BT236" i="40"/>
  <c r="BV236" i="40" s="1"/>
  <c r="BT235" i="40"/>
  <c r="BU235" i="40" s="1"/>
  <c r="BT234" i="40"/>
  <c r="BV234" i="40" s="1"/>
  <c r="BT233" i="40"/>
  <c r="BV233" i="40" s="1"/>
  <c r="BT232" i="40"/>
  <c r="BV232" i="40" s="1"/>
  <c r="BT231" i="40"/>
  <c r="BU231" i="40" s="1"/>
  <c r="BT230" i="40"/>
  <c r="BV230" i="40" s="1"/>
  <c r="BT229" i="40"/>
  <c r="BV229" i="40" s="1"/>
  <c r="BT228" i="40"/>
  <c r="BV228" i="40" s="1"/>
  <c r="AE237" i="40"/>
  <c r="BT227" i="40" s="1"/>
  <c r="BT225" i="40"/>
  <c r="BV225" i="40" s="1"/>
  <c r="BT224" i="40"/>
  <c r="BT223" i="40"/>
  <c r="BV223" i="40" s="1"/>
  <c r="BT222" i="40"/>
  <c r="BU222" i="40" s="1"/>
  <c r="BT221" i="40"/>
  <c r="BV221" i="40" s="1"/>
  <c r="BT220" i="40"/>
  <c r="BT219" i="40"/>
  <c r="BU219" i="40" s="1"/>
  <c r="BT218" i="40"/>
  <c r="BV218" i="40" s="1"/>
  <c r="BT217" i="40"/>
  <c r="BV217" i="40" s="1"/>
  <c r="BT216" i="40"/>
  <c r="AW215" i="40"/>
  <c r="BT215" i="40" s="1"/>
  <c r="M215" i="40"/>
  <c r="BT214" i="40"/>
  <c r="BV214" i="40" s="1"/>
  <c r="BT213" i="40"/>
  <c r="BV213" i="40" s="1"/>
  <c r="BT212" i="40"/>
  <c r="BV212" i="40" s="1"/>
  <c r="BT211" i="40"/>
  <c r="BT210" i="40"/>
  <c r="BV210" i="40" s="1"/>
  <c r="BT209" i="40"/>
  <c r="BV209" i="40" s="1"/>
  <c r="BT208" i="40"/>
  <c r="BU208" i="40" s="1"/>
  <c r="BT207" i="40"/>
  <c r="BV207" i="40" s="1"/>
  <c r="BT206" i="40"/>
  <c r="BV206" i="40" s="1"/>
  <c r="BT205" i="40"/>
  <c r="BV205" i="40" s="1"/>
  <c r="BT204" i="40"/>
  <c r="BV204" i="40" s="1"/>
  <c r="BT203" i="40"/>
  <c r="BV203" i="40" s="1"/>
  <c r="S226" i="40"/>
  <c r="BT202" i="40" s="1"/>
  <c r="BV202" i="40" s="1"/>
  <c r="BT201" i="40"/>
  <c r="BT200" i="40"/>
  <c r="BV200" i="40" s="1"/>
  <c r="BT199" i="40"/>
  <c r="BV199" i="40" s="1"/>
  <c r="BT198" i="40"/>
  <c r="BU198" i="40" s="1"/>
  <c r="BT197" i="40"/>
  <c r="BT196" i="40"/>
  <c r="BU196" i="40" s="1"/>
  <c r="BT195" i="40"/>
  <c r="BU195" i="40" s="1"/>
  <c r="BT194" i="40"/>
  <c r="BV194" i="40" s="1"/>
  <c r="BT193" i="40"/>
  <c r="BE193" i="40"/>
  <c r="BD193" i="40"/>
  <c r="BT192" i="40"/>
  <c r="BV192" i="40" s="1"/>
  <c r="BT191" i="40"/>
  <c r="BV191" i="40" s="1"/>
  <c r="BT190" i="40"/>
  <c r="BV190" i="40" s="1"/>
  <c r="BE189" i="40"/>
  <c r="BD189" i="40"/>
  <c r="BT189" i="40" s="1"/>
  <c r="BV189" i="40" s="1"/>
  <c r="BT188" i="40"/>
  <c r="BU188" i="40" s="1"/>
  <c r="BE187" i="40"/>
  <c r="BD187" i="40"/>
  <c r="BT187" i="40" s="1"/>
  <c r="BU187" i="40" s="1"/>
  <c r="BE186" i="40"/>
  <c r="BD186" i="40"/>
  <c r="BT185" i="40"/>
  <c r="BV185" i="40" s="1"/>
  <c r="BE185" i="40"/>
  <c r="BD185" i="40"/>
  <c r="BT184" i="40"/>
  <c r="BV184" i="40" s="1"/>
  <c r="BT183" i="40"/>
  <c r="BT182" i="40"/>
  <c r="BU182" i="40" s="1"/>
  <c r="BE182" i="40"/>
  <c r="BD182" i="40"/>
  <c r="BT181" i="40"/>
  <c r="BE180" i="40"/>
  <c r="BD180" i="40"/>
  <c r="BT179" i="40"/>
  <c r="BV179" i="40" s="1"/>
  <c r="BE179" i="40"/>
  <c r="BT178" i="40"/>
  <c r="BE178" i="40"/>
  <c r="BD178" i="40"/>
  <c r="BE177" i="40"/>
  <c r="BD177" i="40"/>
  <c r="BT177" i="40" s="1"/>
  <c r="BE176" i="40"/>
  <c r="BD176" i="40"/>
  <c r="BT176" i="40" s="1"/>
  <c r="BU176" i="40" s="1"/>
  <c r="BT175" i="40"/>
  <c r="BV175" i="40" s="1"/>
  <c r="BT174" i="40"/>
  <c r="BV174" i="40" s="1"/>
  <c r="BT173" i="40"/>
  <c r="BV173" i="40" s="1"/>
  <c r="BE172" i="40"/>
  <c r="BD172" i="40"/>
  <c r="BT172" i="40" s="1"/>
  <c r="BT171" i="40"/>
  <c r="BV171" i="40" s="1"/>
  <c r="BT170" i="40"/>
  <c r="BV170" i="40" s="1"/>
  <c r="BT169" i="40"/>
  <c r="BV169" i="40" s="1"/>
  <c r="BT168" i="40"/>
  <c r="BV168" i="40" s="1"/>
  <c r="BT167" i="40"/>
  <c r="BV167" i="40" s="1"/>
  <c r="BT166" i="40"/>
  <c r="BV166" i="40" s="1"/>
  <c r="BD166" i="40"/>
  <c r="BT165" i="40"/>
  <c r="BE164" i="40"/>
  <c r="BD164" i="40"/>
  <c r="BT163" i="40"/>
  <c r="BV163" i="40" s="1"/>
  <c r="BE163" i="40"/>
  <c r="BD163" i="40"/>
  <c r="V163" i="40"/>
  <c r="BT162" i="40"/>
  <c r="BV162" i="40" s="1"/>
  <c r="BT161" i="40"/>
  <c r="BV161" i="40" s="1"/>
  <c r="BT160" i="40"/>
  <c r="BV160" i="40" s="1"/>
  <c r="BE159" i="40"/>
  <c r="BD159" i="40"/>
  <c r="V159" i="40"/>
  <c r="BT159" i="40" s="1"/>
  <c r="BT158" i="40"/>
  <c r="BT157" i="40"/>
  <c r="BV157" i="40" s="1"/>
  <c r="BT156" i="40"/>
  <c r="BV156" i="40" s="1"/>
  <c r="BT155" i="40"/>
  <c r="BV155" i="40" s="1"/>
  <c r="BT154" i="40"/>
  <c r="BV154" i="40" s="1"/>
  <c r="BT153" i="40"/>
  <c r="BV153" i="40" s="1"/>
  <c r="BT152" i="40"/>
  <c r="BV152" i="40" s="1"/>
  <c r="BT151" i="40"/>
  <c r="BU151" i="40" s="1"/>
  <c r="BT150" i="40"/>
  <c r="BV150" i="40" s="1"/>
  <c r="BT149" i="40"/>
  <c r="BV149" i="40" s="1"/>
  <c r="BT148" i="40"/>
  <c r="BV148" i="40" s="1"/>
  <c r="BT147" i="40"/>
  <c r="BU147" i="40" s="1"/>
  <c r="BT146" i="40"/>
  <c r="BV146" i="40" s="1"/>
  <c r="BT145" i="40"/>
  <c r="BV145" i="40" s="1"/>
  <c r="BT144" i="40"/>
  <c r="BV144" i="40" s="1"/>
  <c r="BT143" i="40"/>
  <c r="BT142" i="40"/>
  <c r="BV142" i="40" s="1"/>
  <c r="BT141" i="40"/>
  <c r="BV141" i="40" s="1"/>
  <c r="BE141" i="40"/>
  <c r="BD141" i="40"/>
  <c r="BT140" i="40"/>
  <c r="BV140" i="40" s="1"/>
  <c r="BT139" i="40"/>
  <c r="BU139" i="40" s="1"/>
  <c r="BT138" i="40"/>
  <c r="BU138" i="40" s="1"/>
  <c r="BT137" i="40"/>
  <c r="BU137" i="40" s="1"/>
  <c r="BT136" i="40"/>
  <c r="BU136" i="40" s="1"/>
  <c r="BT135" i="40"/>
  <c r="BU135" i="40" s="1"/>
  <c r="BT134" i="40"/>
  <c r="BU134" i="40" s="1"/>
  <c r="BT133" i="40"/>
  <c r="BT132" i="40"/>
  <c r="BV132" i="40" s="1"/>
  <c r="BT131" i="40"/>
  <c r="BU131" i="40" s="1"/>
  <c r="BD130" i="40"/>
  <c r="BT130" i="40" s="1"/>
  <c r="BT129" i="40"/>
  <c r="BV129" i="40" s="1"/>
  <c r="BT128" i="40"/>
  <c r="BV128" i="40" s="1"/>
  <c r="BT127" i="40"/>
  <c r="BV127" i="40" s="1"/>
  <c r="BT126" i="40"/>
  <c r="BV126" i="40" s="1"/>
  <c r="BT125" i="40"/>
  <c r="BV125" i="40" s="1"/>
  <c r="BT124" i="40"/>
  <c r="BU124" i="40" s="1"/>
  <c r="BT123" i="40"/>
  <c r="BT122" i="40"/>
  <c r="BV122" i="40" s="1"/>
  <c r="BT121" i="40"/>
  <c r="BV121" i="40" s="1"/>
  <c r="BT120" i="40"/>
  <c r="BV120" i="40" s="1"/>
  <c r="BE125" i="40"/>
  <c r="BD125" i="40"/>
  <c r="BT119" i="40" s="1"/>
  <c r="BT118" i="40"/>
  <c r="BU118" i="40" s="1"/>
  <c r="BT116" i="40"/>
  <c r="BU116" i="40" s="1"/>
  <c r="BT115" i="40"/>
  <c r="BU115" i="40" s="1"/>
  <c r="BT114" i="40"/>
  <c r="BU114" i="40" s="1"/>
  <c r="BT113" i="40"/>
  <c r="BT112" i="40"/>
  <c r="BV112" i="40" s="1"/>
  <c r="M112" i="40"/>
  <c r="BT111" i="40"/>
  <c r="BV111" i="40" s="1"/>
  <c r="BT110" i="40"/>
  <c r="BV110" i="40" s="1"/>
  <c r="BT109" i="40"/>
  <c r="BV109" i="40" s="1"/>
  <c r="BT108" i="40"/>
  <c r="BV108" i="40" s="1"/>
  <c r="BT107" i="40"/>
  <c r="BV107" i="40" s="1"/>
  <c r="BT106" i="40"/>
  <c r="BV106" i="40" s="1"/>
  <c r="BT105" i="40"/>
  <c r="BV105" i="40" s="1"/>
  <c r="BT104" i="40"/>
  <c r="BV104" i="40" s="1"/>
  <c r="BT103" i="40"/>
  <c r="BD101" i="40"/>
  <c r="BT101" i="40" s="1"/>
  <c r="BT100" i="40"/>
  <c r="BV100" i="40" s="1"/>
  <c r="BT99" i="40"/>
  <c r="BV99" i="40" s="1"/>
  <c r="BT98" i="40"/>
  <c r="BV98" i="40" s="1"/>
  <c r="BT97" i="40"/>
  <c r="BU97" i="40" s="1"/>
  <c r="BT96" i="40"/>
  <c r="BU96" i="40" s="1"/>
  <c r="M98" i="40"/>
  <c r="BE95" i="40"/>
  <c r="V94" i="40"/>
  <c r="BT93" i="40" s="1"/>
  <c r="BV93" i="40" s="1"/>
  <c r="V92" i="40"/>
  <c r="BT91" i="40" s="1"/>
  <c r="BV91" i="40" s="1"/>
  <c r="BT90" i="40"/>
  <c r="BU90" i="40" s="1"/>
  <c r="BT89" i="40"/>
  <c r="BU89" i="40" s="1"/>
  <c r="BT88" i="40"/>
  <c r="BU88" i="40" s="1"/>
  <c r="BT87" i="40"/>
  <c r="BV87" i="40" s="1"/>
  <c r="BT86" i="40"/>
  <c r="BU86" i="40" s="1"/>
  <c r="BE85" i="40"/>
  <c r="BT85" i="40" s="1"/>
  <c r="BT84" i="40"/>
  <c r="BV84" i="40" s="1"/>
  <c r="BT83" i="40"/>
  <c r="BV83" i="40" s="1"/>
  <c r="BT82" i="40"/>
  <c r="BV82" i="40" s="1"/>
  <c r="BT81" i="40"/>
  <c r="BV81" i="40" s="1"/>
  <c r="BT80" i="40"/>
  <c r="BV80" i="40" s="1"/>
  <c r="BE79" i="40"/>
  <c r="BT79" i="40" s="1"/>
  <c r="BT78" i="40"/>
  <c r="BV78" i="40" s="1"/>
  <c r="BT77" i="40"/>
  <c r="BU77" i="40" s="1"/>
  <c r="BT76" i="40"/>
  <c r="BV76" i="40" s="1"/>
  <c r="BT75" i="40"/>
  <c r="BV75" i="40" s="1"/>
  <c r="BT74" i="40"/>
  <c r="BV74" i="40" s="1"/>
  <c r="BT73" i="40"/>
  <c r="BU73" i="40" s="1"/>
  <c r="BT72" i="40"/>
  <c r="BV72" i="40" s="1"/>
  <c r="BT71" i="40"/>
  <c r="BV71" i="40" s="1"/>
  <c r="BT70" i="40"/>
  <c r="BV70" i="40" s="1"/>
  <c r="BT69" i="40"/>
  <c r="BU69" i="40" s="1"/>
  <c r="BD67" i="40"/>
  <c r="BT67" i="40" s="1"/>
  <c r="BV67" i="40" s="1"/>
  <c r="BT66" i="40"/>
  <c r="BU66" i="40" s="1"/>
  <c r="BT65" i="40"/>
  <c r="BU65" i="40" s="1"/>
  <c r="BT64" i="40"/>
  <c r="BV64" i="40" s="1"/>
  <c r="BT63" i="40"/>
  <c r="BU63" i="40" s="1"/>
  <c r="BT62" i="40"/>
  <c r="BU62" i="40" s="1"/>
  <c r="BT61" i="40"/>
  <c r="BU61" i="40" s="1"/>
  <c r="BT60" i="40"/>
  <c r="BV60" i="40" s="1"/>
  <c r="BT59" i="40"/>
  <c r="BU59" i="40" s="1"/>
  <c r="BT58" i="40"/>
  <c r="BU58" i="40" s="1"/>
  <c r="BT57" i="40"/>
  <c r="BU57" i="40" s="1"/>
  <c r="BT56" i="40"/>
  <c r="BV56" i="40" s="1"/>
  <c r="BT55" i="40"/>
  <c r="BU55" i="40" s="1"/>
  <c r="BT54" i="40"/>
  <c r="BV54" i="40" s="1"/>
  <c r="BT53" i="40"/>
  <c r="BV53" i="40" s="1"/>
  <c r="BT52" i="40"/>
  <c r="BV52" i="40" s="1"/>
  <c r="BT51" i="40"/>
  <c r="BU51" i="40" s="1"/>
  <c r="BT50" i="40"/>
  <c r="BV50" i="40" s="1"/>
  <c r="BT49" i="40"/>
  <c r="BV49" i="40" s="1"/>
  <c r="BT48" i="40"/>
  <c r="BV48" i="40" s="1"/>
  <c r="BT47" i="40"/>
  <c r="BU47" i="40" s="1"/>
  <c r="BT46" i="40"/>
  <c r="BT45" i="40"/>
  <c r="BU45" i="40" s="1"/>
  <c r="BT44" i="40"/>
  <c r="BU44" i="40" s="1"/>
  <c r="BT43" i="40"/>
  <c r="BV43" i="40" s="1"/>
  <c r="BT42" i="40"/>
  <c r="BT41" i="40"/>
  <c r="BU41" i="40" s="1"/>
  <c r="BT40" i="40"/>
  <c r="BU40" i="40" s="1"/>
  <c r="BT39" i="40"/>
  <c r="BV39" i="40" s="1"/>
  <c r="BT38" i="40"/>
  <c r="BT37" i="40"/>
  <c r="BU37" i="40" s="1"/>
  <c r="BT36" i="40"/>
  <c r="BU36" i="40" s="1"/>
  <c r="BT35" i="40"/>
  <c r="BV35" i="40" s="1"/>
  <c r="BT34" i="40"/>
  <c r="BT33" i="40"/>
  <c r="BV33" i="40" s="1"/>
  <c r="BT32" i="40"/>
  <c r="BU32" i="40" s="1"/>
  <c r="BT31" i="40"/>
  <c r="BV31" i="40" s="1"/>
  <c r="BT30" i="40"/>
  <c r="BT29" i="40"/>
  <c r="BU29" i="40" s="1"/>
  <c r="BT28" i="40"/>
  <c r="BU28" i="40" s="1"/>
  <c r="BT27" i="40"/>
  <c r="BV27" i="40" s="1"/>
  <c r="BT26" i="40"/>
  <c r="S25" i="40"/>
  <c r="BT25" i="40" s="1"/>
  <c r="BU25" i="40" s="1"/>
  <c r="S24" i="40"/>
  <c r="BT24" i="40" s="1"/>
  <c r="BT23" i="40"/>
  <c r="BV23" i="40" s="1"/>
  <c r="BT22" i="40"/>
  <c r="BU22" i="40" s="1"/>
  <c r="BT21" i="40"/>
  <c r="BV21" i="40" s="1"/>
  <c r="S20" i="40"/>
  <c r="BT20" i="40" s="1"/>
  <c r="BV20" i="40" s="1"/>
  <c r="BT19" i="40"/>
  <c r="BT18" i="40"/>
  <c r="BU18" i="40" s="1"/>
  <c r="BT17" i="40"/>
  <c r="BU17" i="40" s="1"/>
  <c r="V16" i="40"/>
  <c r="BT16" i="40" s="1"/>
  <c r="S15" i="40"/>
  <c r="BT15" i="40" s="1"/>
  <c r="BT14" i="40"/>
  <c r="BV14" i="40" s="1"/>
  <c r="BT13" i="40"/>
  <c r="BV13" i="40" s="1"/>
  <c r="BT12" i="40"/>
  <c r="BV12" i="40" s="1"/>
  <c r="V11" i="40"/>
  <c r="BT11" i="40" s="1"/>
  <c r="BU11" i="40" s="1"/>
  <c r="V10" i="40"/>
  <c r="BT10" i="40" s="1"/>
  <c r="BT9" i="40"/>
  <c r="BU9" i="40" s="1"/>
  <c r="BT8" i="40"/>
  <c r="BV8" i="40" s="1"/>
  <c r="BT7" i="40"/>
  <c r="BV7" i="40" s="1"/>
  <c r="BT6" i="40"/>
  <c r="BU6" i="40" s="1"/>
  <c r="BT5" i="40"/>
  <c r="BU5" i="40" s="1"/>
  <c r="BT4" i="40"/>
  <c r="M518" i="39"/>
  <c r="L518" i="39"/>
  <c r="M517" i="39"/>
  <c r="L517" i="39"/>
  <c r="CA516" i="39"/>
  <c r="M516" i="39"/>
  <c r="L516" i="39"/>
  <c r="CA515" i="39"/>
  <c r="CA514" i="39"/>
  <c r="CB514" i="39" s="1"/>
  <c r="CA513" i="39"/>
  <c r="CC513" i="39" s="1"/>
  <c r="CA512" i="39"/>
  <c r="CB512" i="39" s="1"/>
  <c r="CA511" i="39"/>
  <c r="CC511" i="39" s="1"/>
  <c r="CA510" i="39"/>
  <c r="CC510" i="39" s="1"/>
  <c r="CA509" i="39"/>
  <c r="CC509" i="39" s="1"/>
  <c r="CA508" i="39"/>
  <c r="CB508" i="39" s="1"/>
  <c r="CA507" i="39"/>
  <c r="CC507" i="39" s="1"/>
  <c r="CA506" i="39"/>
  <c r="CC506" i="39" s="1"/>
  <c r="CA505" i="39"/>
  <c r="CC505" i="39" s="1"/>
  <c r="CA504" i="39"/>
  <c r="CB504" i="39" s="1"/>
  <c r="CA503" i="39"/>
  <c r="CC503" i="39" s="1"/>
  <c r="CA502" i="39"/>
  <c r="CC502" i="39" s="1"/>
  <c r="CA501" i="39"/>
  <c r="CC501" i="39" s="1"/>
  <c r="CA500" i="39"/>
  <c r="CB500" i="39" s="1"/>
  <c r="CA499" i="39"/>
  <c r="CC499" i="39" s="1"/>
  <c r="CA498" i="39"/>
  <c r="CC498" i="39" s="1"/>
  <c r="CA496" i="39"/>
  <c r="CC496" i="39" s="1"/>
  <c r="CA495" i="39"/>
  <c r="CB495" i="39" s="1"/>
  <c r="CA494" i="39"/>
  <c r="CC494" i="39" s="1"/>
  <c r="CA493" i="39"/>
  <c r="CC493" i="39" s="1"/>
  <c r="CA492" i="39"/>
  <c r="CC492" i="39" s="1"/>
  <c r="CA491" i="39"/>
  <c r="CB491" i="39" s="1"/>
  <c r="CA490" i="39"/>
  <c r="CA489" i="39"/>
  <c r="CC489" i="39" s="1"/>
  <c r="CA486" i="39"/>
  <c r="CC486" i="39" s="1"/>
  <c r="CA485" i="39"/>
  <c r="CB485" i="39" s="1"/>
  <c r="CA484" i="39"/>
  <c r="CC484" i="39" s="1"/>
  <c r="CA483" i="39"/>
  <c r="CB483" i="39" s="1"/>
  <c r="CA481" i="39"/>
  <c r="CB481" i="39" s="1"/>
  <c r="CA480" i="39"/>
  <c r="CB480" i="39" s="1"/>
  <c r="CA479" i="39"/>
  <c r="CC479" i="39" s="1"/>
  <c r="CA478" i="39"/>
  <c r="CB478" i="39" s="1"/>
  <c r="CA477" i="39"/>
  <c r="CB477" i="39" s="1"/>
  <c r="CA476" i="39"/>
  <c r="CB476" i="39" s="1"/>
  <c r="CA475" i="39"/>
  <c r="CC475" i="39" s="1"/>
  <c r="CA474" i="39"/>
  <c r="CB474" i="39" s="1"/>
  <c r="CA473" i="39"/>
  <c r="CB473" i="39" s="1"/>
  <c r="CA472" i="39"/>
  <c r="CB472" i="39" s="1"/>
  <c r="CA471" i="39"/>
  <c r="CC471" i="39" s="1"/>
  <c r="CA470" i="39"/>
  <c r="CC470" i="39" s="1"/>
  <c r="CA469" i="39"/>
  <c r="CB469" i="39" s="1"/>
  <c r="CA468" i="39"/>
  <c r="CB468" i="39" s="1"/>
  <c r="CA467" i="39"/>
  <c r="CC467" i="39" s="1"/>
  <c r="CA466" i="39"/>
  <c r="CC466" i="39" s="1"/>
  <c r="CA465" i="39"/>
  <c r="CC465" i="39" s="1"/>
  <c r="CA464" i="39"/>
  <c r="CB464" i="39" s="1"/>
  <c r="CA463" i="39"/>
  <c r="CA462" i="39"/>
  <c r="CB462" i="39" s="1"/>
  <c r="CA461" i="39"/>
  <c r="CC461" i="39" s="1"/>
  <c r="CA460" i="39"/>
  <c r="CB460" i="39" s="1"/>
  <c r="CA459" i="39"/>
  <c r="CC459" i="39" s="1"/>
  <c r="CA458" i="39"/>
  <c r="CB458" i="39" s="1"/>
  <c r="CA457" i="39"/>
  <c r="CC457" i="39" s="1"/>
  <c r="CA456" i="39"/>
  <c r="CB456" i="39" s="1"/>
  <c r="CA455" i="39"/>
  <c r="CC455" i="39" s="1"/>
  <c r="CA454" i="39"/>
  <c r="CC454" i="39" s="1"/>
  <c r="CA453" i="39"/>
  <c r="CC453" i="39" s="1"/>
  <c r="CA452" i="39"/>
  <c r="CB452" i="39" s="1"/>
  <c r="CA451" i="39"/>
  <c r="CC451" i="39" s="1"/>
  <c r="CA450" i="39"/>
  <c r="CB450" i="39" s="1"/>
  <c r="CA449" i="39"/>
  <c r="CC449" i="39" s="1"/>
  <c r="CA448" i="39"/>
  <c r="CB448" i="39" s="1"/>
  <c r="CA447" i="39"/>
  <c r="CC447" i="39" s="1"/>
  <c r="CA446" i="39"/>
  <c r="CB446" i="39" s="1"/>
  <c r="CA445" i="39"/>
  <c r="CC445" i="39" s="1"/>
  <c r="CA444" i="39"/>
  <c r="CB444" i="39" s="1"/>
  <c r="CA443" i="39"/>
  <c r="CC443" i="39" s="1"/>
  <c r="CA442" i="39"/>
  <c r="CB442" i="39" s="1"/>
  <c r="CA441" i="39"/>
  <c r="CC441" i="39" s="1"/>
  <c r="CA440" i="39"/>
  <c r="CB440" i="39" s="1"/>
  <c r="CA439" i="39"/>
  <c r="CC439" i="39" s="1"/>
  <c r="CA438" i="39"/>
  <c r="CC438" i="39" s="1"/>
  <c r="CA437" i="39"/>
  <c r="CC437" i="39" s="1"/>
  <c r="CA436" i="39"/>
  <c r="CB436" i="39" s="1"/>
  <c r="CA435" i="39"/>
  <c r="CC435" i="39" s="1"/>
  <c r="CA434" i="39"/>
  <c r="CC434" i="39" s="1"/>
  <c r="CA433" i="39"/>
  <c r="CC433" i="39" s="1"/>
  <c r="CA432" i="39"/>
  <c r="CB432" i="39" s="1"/>
  <c r="CA431" i="39"/>
  <c r="CC431" i="39" s="1"/>
  <c r="CA430" i="39"/>
  <c r="CC430" i="39" s="1"/>
  <c r="CA429" i="39"/>
  <c r="CC429" i="39" s="1"/>
  <c r="CA428" i="39"/>
  <c r="CB428" i="39" s="1"/>
  <c r="CA427" i="39"/>
  <c r="CC427" i="39" s="1"/>
  <c r="U426" i="39"/>
  <c r="CA426" i="39" s="1"/>
  <c r="CC426" i="39" s="1"/>
  <c r="CA425" i="39"/>
  <c r="CA424" i="39"/>
  <c r="CC424" i="39" s="1"/>
  <c r="CA423" i="39"/>
  <c r="CC423" i="39" s="1"/>
  <c r="AU422" i="39"/>
  <c r="CA422" i="39" s="1"/>
  <c r="CC422" i="39" s="1"/>
  <c r="CA421" i="39"/>
  <c r="CC421" i="39" s="1"/>
  <c r="CA420" i="39"/>
  <c r="U419" i="39"/>
  <c r="CA419" i="39" s="1"/>
  <c r="CA418" i="39"/>
  <c r="CC418" i="39" s="1"/>
  <c r="CA417" i="39"/>
  <c r="CB417" i="39" s="1"/>
  <c r="R416" i="39"/>
  <c r="CA416" i="39" s="1"/>
  <c r="R415" i="39"/>
  <c r="CA415" i="39" s="1"/>
  <c r="CC415" i="39" s="1"/>
  <c r="CA414" i="39"/>
  <c r="CC414" i="39" s="1"/>
  <c r="CA413" i="39"/>
  <c r="CA412" i="39"/>
  <c r="CB412" i="39" s="1"/>
  <c r="AT411" i="39"/>
  <c r="CA411" i="39" s="1"/>
  <c r="CA410" i="39"/>
  <c r="CB410" i="39" s="1"/>
  <c r="U409" i="39"/>
  <c r="CA409" i="39" s="1"/>
  <c r="CA408" i="39"/>
  <c r="CB408" i="39" s="1"/>
  <c r="U407" i="39"/>
  <c r="CA407" i="39" s="1"/>
  <c r="CA406" i="39"/>
  <c r="CB406" i="39" s="1"/>
  <c r="AH405" i="39"/>
  <c r="CA405" i="39" s="1"/>
  <c r="CC405" i="39" s="1"/>
  <c r="CA402" i="39"/>
  <c r="CC402" i="39" s="1"/>
  <c r="CA401" i="39"/>
  <c r="CB401" i="39" s="1"/>
  <c r="CA400" i="39"/>
  <c r="CC400" i="39" s="1"/>
  <c r="CA399" i="39"/>
  <c r="CB399" i="39" s="1"/>
  <c r="CA398" i="39"/>
  <c r="CC398" i="39" s="1"/>
  <c r="CA397" i="39"/>
  <c r="CB397" i="39" s="1"/>
  <c r="CA396" i="39"/>
  <c r="CC396" i="39" s="1"/>
  <c r="CA395" i="39"/>
  <c r="CC395" i="39" s="1"/>
  <c r="CA394" i="39"/>
  <c r="CC394" i="39" s="1"/>
  <c r="CA393" i="39"/>
  <c r="CB393" i="39" s="1"/>
  <c r="CA392" i="39"/>
  <c r="CC392" i="39" s="1"/>
  <c r="CA391" i="39"/>
  <c r="CC391" i="39" s="1"/>
  <c r="CA390" i="39"/>
  <c r="CC390" i="39" s="1"/>
  <c r="CA389" i="39"/>
  <c r="CA388" i="39"/>
  <c r="CC388" i="39" s="1"/>
  <c r="CA387" i="39"/>
  <c r="CC387" i="39" s="1"/>
  <c r="CA386" i="39"/>
  <c r="CC386" i="39" s="1"/>
  <c r="CA385" i="39"/>
  <c r="CB385" i="39" s="1"/>
  <c r="CA384" i="39"/>
  <c r="CC384" i="39" s="1"/>
  <c r="CA383" i="39"/>
  <c r="CB383" i="39" s="1"/>
  <c r="CA382" i="39"/>
  <c r="CC382" i="39" s="1"/>
  <c r="CA381" i="39"/>
  <c r="CB381" i="39" s="1"/>
  <c r="CA380" i="39"/>
  <c r="CC380" i="39" s="1"/>
  <c r="CA379" i="39"/>
  <c r="CC379" i="39" s="1"/>
  <c r="CA378" i="39"/>
  <c r="CC378" i="39" s="1"/>
  <c r="CA377" i="39"/>
  <c r="CB377" i="39" s="1"/>
  <c r="CA376" i="39"/>
  <c r="CC376" i="39" s="1"/>
  <c r="CA375" i="39"/>
  <c r="CC375" i="39" s="1"/>
  <c r="CA374" i="39"/>
  <c r="CC374" i="39" s="1"/>
  <c r="CA373" i="39"/>
  <c r="CA372" i="39"/>
  <c r="CC372" i="39" s="1"/>
  <c r="CA371" i="39"/>
  <c r="CB371" i="39" s="1"/>
  <c r="CA370" i="39"/>
  <c r="CC370" i="39" s="1"/>
  <c r="CA369" i="39"/>
  <c r="CB369" i="39" s="1"/>
  <c r="CA368" i="39"/>
  <c r="CC368" i="39" s="1"/>
  <c r="CA367" i="39"/>
  <c r="CB367" i="39" s="1"/>
  <c r="CA366" i="39"/>
  <c r="CC366" i="39" s="1"/>
  <c r="CA365" i="39"/>
  <c r="CB365" i="39" s="1"/>
  <c r="CA364" i="39"/>
  <c r="CC364" i="39" s="1"/>
  <c r="CA363" i="39"/>
  <c r="CC363" i="39" s="1"/>
  <c r="CA362" i="39"/>
  <c r="CC362" i="39" s="1"/>
  <c r="CA361" i="39"/>
  <c r="CB361" i="39" s="1"/>
  <c r="CA360" i="39"/>
  <c r="CC360" i="39" s="1"/>
  <c r="CA359" i="39"/>
  <c r="CC359" i="39" s="1"/>
  <c r="AT358" i="39"/>
  <c r="CA358" i="39" s="1"/>
  <c r="CA357" i="39"/>
  <c r="CC357" i="39" s="1"/>
  <c r="CA356" i="39"/>
  <c r="CB356" i="39" s="1"/>
  <c r="CA355" i="39"/>
  <c r="CC355" i="39" s="1"/>
  <c r="CA354" i="39"/>
  <c r="U353" i="39"/>
  <c r="CA353" i="39" s="1"/>
  <c r="CC353" i="39" s="1"/>
  <c r="CA352" i="39"/>
  <c r="CC352" i="39" s="1"/>
  <c r="CA351" i="39"/>
  <c r="CB351" i="39" s="1"/>
  <c r="CA347" i="39"/>
  <c r="CC347" i="39" s="1"/>
  <c r="CA346" i="39"/>
  <c r="CB346" i="39" s="1"/>
  <c r="CA345" i="39"/>
  <c r="CC345" i="39" s="1"/>
  <c r="AH344" i="39"/>
  <c r="CA344" i="39" s="1"/>
  <c r="AA343" i="39"/>
  <c r="CA343" i="39" s="1"/>
  <c r="CB343" i="39" s="1"/>
  <c r="AA341" i="39"/>
  <c r="CA341" i="39" s="1"/>
  <c r="CA340" i="39"/>
  <c r="CB340" i="39" s="1"/>
  <c r="CA339" i="39"/>
  <c r="CC339" i="39" s="1"/>
  <c r="CA338" i="39"/>
  <c r="CA337" i="39"/>
  <c r="CC337" i="39" s="1"/>
  <c r="CA336" i="39"/>
  <c r="CB336" i="39" s="1"/>
  <c r="CA335" i="39"/>
  <c r="CC335" i="39" s="1"/>
  <c r="AG334" i="39"/>
  <c r="CA334" i="39" s="1"/>
  <c r="CB334" i="39" s="1"/>
  <c r="CA332" i="39"/>
  <c r="CB332" i="39" s="1"/>
  <c r="AH331" i="39"/>
  <c r="AG331" i="39"/>
  <c r="CA330" i="39"/>
  <c r="CB330" i="39" s="1"/>
  <c r="CA329" i="39"/>
  <c r="CC329" i="39" s="1"/>
  <c r="CA328" i="39"/>
  <c r="CB328" i="39" s="1"/>
  <c r="AH327" i="39"/>
  <c r="AG327" i="39"/>
  <c r="CA326" i="39"/>
  <c r="CC326" i="39" s="1"/>
  <c r="AH325" i="39"/>
  <c r="AG325" i="39"/>
  <c r="AH324" i="39"/>
  <c r="AG324" i="39"/>
  <c r="AH323" i="39"/>
  <c r="AG323" i="39"/>
  <c r="CA322" i="39"/>
  <c r="AH320" i="39"/>
  <c r="AG320" i="39"/>
  <c r="CA319" i="39"/>
  <c r="AH318" i="39"/>
  <c r="AG318" i="39"/>
  <c r="AH317" i="39"/>
  <c r="CA317" i="39" s="1"/>
  <c r="CB317" i="39" s="1"/>
  <c r="AH316" i="39"/>
  <c r="AG316" i="39"/>
  <c r="AH315" i="39"/>
  <c r="AG315" i="39"/>
  <c r="AH314" i="39"/>
  <c r="AG314" i="39"/>
  <c r="CA313" i="39"/>
  <c r="CC313" i="39" s="1"/>
  <c r="CA312" i="39"/>
  <c r="CB312" i="39" s="1"/>
  <c r="CA311" i="39"/>
  <c r="CC311" i="39" s="1"/>
  <c r="AH310" i="39"/>
  <c r="AG310" i="39"/>
  <c r="CA309" i="39"/>
  <c r="CC309" i="39" s="1"/>
  <c r="CA308" i="39"/>
  <c r="CB308" i="39" s="1"/>
  <c r="CA307" i="39"/>
  <c r="CC307" i="39" s="1"/>
  <c r="CA306" i="39"/>
  <c r="CB306" i="39" s="1"/>
  <c r="CA305" i="39"/>
  <c r="CC305" i="39" s="1"/>
  <c r="AG304" i="39"/>
  <c r="CA304" i="39" s="1"/>
  <c r="CA303" i="39"/>
  <c r="CB303" i="39" s="1"/>
  <c r="AH302" i="39"/>
  <c r="AG302" i="39"/>
  <c r="AA302" i="39"/>
  <c r="CA301" i="39"/>
  <c r="CC301" i="39" s="1"/>
  <c r="AH300" i="39"/>
  <c r="AG300" i="39"/>
  <c r="AA300" i="39"/>
  <c r="CA299" i="39"/>
  <c r="CB299" i="39" s="1"/>
  <c r="CA298" i="39"/>
  <c r="CB298" i="39" s="1"/>
  <c r="CA297" i="39"/>
  <c r="CC297" i="39" s="1"/>
  <c r="CA296" i="39"/>
  <c r="CC296" i="39" s="1"/>
  <c r="CA295" i="39"/>
  <c r="CB295" i="39" s="1"/>
  <c r="CA294" i="39"/>
  <c r="CC294" i="39" s="1"/>
  <c r="AH293" i="39"/>
  <c r="AG293" i="39"/>
  <c r="CA292" i="39"/>
  <c r="CC292" i="39" s="1"/>
  <c r="CA291" i="39"/>
  <c r="CB291" i="39" s="1"/>
  <c r="CA290" i="39"/>
  <c r="CA289" i="39"/>
  <c r="CB289" i="39" s="1"/>
  <c r="CA288" i="39"/>
  <c r="CC288" i="39" s="1"/>
  <c r="AG287" i="39"/>
  <c r="CA287" i="39" s="1"/>
  <c r="CA286" i="39"/>
  <c r="CC286" i="39" s="1"/>
  <c r="CA285" i="39"/>
  <c r="CC285" i="39" s="1"/>
  <c r="CA284" i="39"/>
  <c r="CB284" i="39" s="1"/>
  <c r="AH283" i="39"/>
  <c r="AG283" i="39"/>
  <c r="CA282" i="39"/>
  <c r="CB282" i="39" s="1"/>
  <c r="CA281" i="39"/>
  <c r="M281" i="39"/>
  <c r="L281" i="39"/>
  <c r="CA280" i="39"/>
  <c r="M280" i="39"/>
  <c r="L280" i="39"/>
  <c r="CA279" i="39"/>
  <c r="M279" i="39"/>
  <c r="L279" i="39"/>
  <c r="BL278" i="39"/>
  <c r="BA278" i="39"/>
  <c r="CA273" i="39"/>
  <c r="CC273" i="39" s="1"/>
  <c r="CA221" i="39"/>
  <c r="CA220" i="39"/>
  <c r="CA272" i="39"/>
  <c r="CA271" i="39"/>
  <c r="CB271" i="39" s="1"/>
  <c r="CA270" i="39"/>
  <c r="CC270" i="39" s="1"/>
  <c r="CA269" i="39"/>
  <c r="CC269" i="39" s="1"/>
  <c r="CA268" i="39"/>
  <c r="CC268" i="39" s="1"/>
  <c r="CA267" i="39"/>
  <c r="CB267" i="39" s="1"/>
  <c r="CA266" i="39"/>
  <c r="CC266" i="39" s="1"/>
  <c r="CA265" i="39"/>
  <c r="CC265" i="39" s="1"/>
  <c r="CA264" i="39"/>
  <c r="CC264" i="39" s="1"/>
  <c r="CA263" i="39"/>
  <c r="CB263" i="39" s="1"/>
  <c r="CA262" i="39"/>
  <c r="CC262" i="39" s="1"/>
  <c r="CA261" i="39"/>
  <c r="CC261" i="39" s="1"/>
  <c r="CA260" i="39"/>
  <c r="CB260" i="39" s="1"/>
  <c r="CA259" i="39"/>
  <c r="CB259" i="39" s="1"/>
  <c r="CA258" i="39"/>
  <c r="CC258" i="39" s="1"/>
  <c r="CA257" i="39"/>
  <c r="CC257" i="39" s="1"/>
  <c r="CA255" i="39"/>
  <c r="CC255" i="39" s="1"/>
  <c r="CA254" i="39"/>
  <c r="CB254" i="39" s="1"/>
  <c r="CA253" i="39"/>
  <c r="CC253" i="39" s="1"/>
  <c r="CA252" i="39"/>
  <c r="M252" i="39"/>
  <c r="L252" i="39"/>
  <c r="CA251" i="39"/>
  <c r="CC251" i="39" s="1"/>
  <c r="CA250" i="39"/>
  <c r="CA249" i="39"/>
  <c r="CC249" i="39" s="1"/>
  <c r="CA248" i="39"/>
  <c r="M248" i="39"/>
  <c r="CA247" i="39"/>
  <c r="M247" i="39"/>
  <c r="L247" i="39"/>
  <c r="CA246" i="39"/>
  <c r="CC246" i="39" s="1"/>
  <c r="CA245" i="39"/>
  <c r="CC245" i="39" s="1"/>
  <c r="CA244" i="39"/>
  <c r="CB244" i="39" s="1"/>
  <c r="CA243" i="39"/>
  <c r="CA242" i="39"/>
  <c r="CC242" i="39" s="1"/>
  <c r="CA241" i="39"/>
  <c r="CC241" i="39" s="1"/>
  <c r="CA240" i="39"/>
  <c r="CC240" i="39" s="1"/>
  <c r="CA239" i="39"/>
  <c r="CA238" i="39"/>
  <c r="M238" i="39"/>
  <c r="L238" i="39"/>
  <c r="CA237" i="39"/>
  <c r="CC237" i="39" s="1"/>
  <c r="CA236" i="39"/>
  <c r="CC236" i="39" s="1"/>
  <c r="CA235" i="39"/>
  <c r="CB235" i="39" s="1"/>
  <c r="AA234" i="39"/>
  <c r="CA234" i="39" s="1"/>
  <c r="CA233" i="39"/>
  <c r="CC233" i="39" s="1"/>
  <c r="CA232" i="39"/>
  <c r="CA230" i="39"/>
  <c r="CC230" i="39" s="1"/>
  <c r="CA229" i="39"/>
  <c r="CC229" i="39" s="1"/>
  <c r="CA228" i="39"/>
  <c r="CC228" i="39" s="1"/>
  <c r="CA227" i="39"/>
  <c r="CA226" i="39"/>
  <c r="CC226" i="39" s="1"/>
  <c r="CA225" i="39"/>
  <c r="CC225" i="39" s="1"/>
  <c r="CA224" i="39"/>
  <c r="CB224" i="39" s="1"/>
  <c r="CA223" i="39"/>
  <c r="CA222" i="39"/>
  <c r="M222" i="39"/>
  <c r="L222" i="39"/>
  <c r="CA137" i="39"/>
  <c r="CB137" i="39" s="1"/>
  <c r="AS86" i="39"/>
  <c r="AH86" i="39"/>
  <c r="AG86" i="39"/>
  <c r="M86" i="39"/>
  <c r="L86" i="39"/>
  <c r="CA219" i="39"/>
  <c r="CC219" i="39" s="1"/>
  <c r="CA218" i="39"/>
  <c r="BS217" i="39"/>
  <c r="CA217" i="39" s="1"/>
  <c r="M217" i="39"/>
  <c r="CA216" i="39"/>
  <c r="CC216" i="39" s="1"/>
  <c r="CA215" i="39"/>
  <c r="CB215" i="39" s="1"/>
  <c r="CA214" i="39"/>
  <c r="CB214" i="39" s="1"/>
  <c r="CA213" i="39"/>
  <c r="CC213" i="39" s="1"/>
  <c r="CA212" i="39"/>
  <c r="CC212" i="39" s="1"/>
  <c r="CA211" i="39"/>
  <c r="CC211" i="39" s="1"/>
  <c r="CA210" i="39"/>
  <c r="CB210" i="39" s="1"/>
  <c r="CA209" i="39"/>
  <c r="CC209" i="39" s="1"/>
  <c r="CA208" i="39"/>
  <c r="CC208" i="39" s="1"/>
  <c r="CA207" i="39"/>
  <c r="CC207" i="39" s="1"/>
  <c r="CA206" i="39"/>
  <c r="CB206" i="39" s="1"/>
  <c r="CA205" i="39"/>
  <c r="CB205" i="39" s="1"/>
  <c r="CA204" i="39"/>
  <c r="CC204" i="39" s="1"/>
  <c r="CA203" i="39"/>
  <c r="CA202" i="39"/>
  <c r="CB202" i="39" s="1"/>
  <c r="CA201" i="39"/>
  <c r="CA200" i="39"/>
  <c r="CC200" i="39" s="1"/>
  <c r="CA199" i="39"/>
  <c r="CB199" i="39" s="1"/>
  <c r="CA198" i="39"/>
  <c r="CC198" i="39" s="1"/>
  <c r="CA197" i="39"/>
  <c r="CA196" i="39"/>
  <c r="CC196" i="39" s="1"/>
  <c r="CA195" i="39"/>
  <c r="CB195" i="39" s="1"/>
  <c r="CA194" i="39"/>
  <c r="CB194" i="39" s="1"/>
  <c r="CA193" i="39"/>
  <c r="CA192" i="39"/>
  <c r="CC192" i="39" s="1"/>
  <c r="CA191" i="39"/>
  <c r="CB191" i="39" s="1"/>
  <c r="AH190" i="39"/>
  <c r="AG190" i="39"/>
  <c r="CA189" i="39"/>
  <c r="CB189" i="39" s="1"/>
  <c r="CA188" i="39"/>
  <c r="CC188" i="39" s="1"/>
  <c r="CA187" i="39"/>
  <c r="CC187" i="39" s="1"/>
  <c r="CA186" i="39"/>
  <c r="CC186" i="39" s="1"/>
  <c r="CA185" i="39"/>
  <c r="CB185" i="39" s="1"/>
  <c r="CA184" i="39"/>
  <c r="CC184" i="39" s="1"/>
  <c r="CA182" i="39"/>
  <c r="CC182" i="39" s="1"/>
  <c r="CA181" i="39"/>
  <c r="CC181" i="39" s="1"/>
  <c r="CA180" i="39"/>
  <c r="CB180" i="39" s="1"/>
  <c r="CA179" i="39"/>
  <c r="CC179" i="39" s="1"/>
  <c r="CA178" i="39"/>
  <c r="CC178" i="39" s="1"/>
  <c r="CA177" i="39"/>
  <c r="CC177" i="39" s="1"/>
  <c r="CA176" i="39"/>
  <c r="CB176" i="39" s="1"/>
  <c r="CA175" i="39"/>
  <c r="CC175" i="39" s="1"/>
  <c r="CA174" i="39"/>
  <c r="CC174" i="39" s="1"/>
  <c r="CA173" i="39"/>
  <c r="CC173" i="39" s="1"/>
  <c r="CA172" i="39"/>
  <c r="CB172" i="39" s="1"/>
  <c r="CA171" i="39"/>
  <c r="CC171" i="39" s="1"/>
  <c r="CA170" i="39"/>
  <c r="CC170" i="39" s="1"/>
  <c r="CA169" i="39"/>
  <c r="CC169" i="39" s="1"/>
  <c r="CA168" i="39"/>
  <c r="CB168" i="39" s="1"/>
  <c r="M167" i="39"/>
  <c r="R167" i="39" s="1"/>
  <c r="CA167" i="39" s="1"/>
  <c r="CB167" i="39" s="1"/>
  <c r="R166" i="39"/>
  <c r="CA166" i="39" s="1"/>
  <c r="R165" i="39"/>
  <c r="CA165" i="39" s="1"/>
  <c r="AU164" i="39"/>
  <c r="CA164" i="39" s="1"/>
  <c r="CA163" i="39"/>
  <c r="M163" i="39"/>
  <c r="AU162" i="39"/>
  <c r="CA162" i="39" s="1"/>
  <c r="CA161" i="39"/>
  <c r="CB161" i="39" s="1"/>
  <c r="M160" i="39"/>
  <c r="R159" i="39"/>
  <c r="CA159" i="39" s="1"/>
  <c r="R158" i="39"/>
  <c r="CA158" i="39" s="1"/>
  <c r="CB158" i="39" s="1"/>
  <c r="M157" i="39"/>
  <c r="R156" i="39"/>
  <c r="CA156" i="39" s="1"/>
  <c r="CB156" i="39" s="1"/>
  <c r="CA155" i="39"/>
  <c r="CC155" i="39" s="1"/>
  <c r="M154" i="39"/>
  <c r="R154" i="39" s="1"/>
  <c r="CA154" i="39" s="1"/>
  <c r="CA153" i="39"/>
  <c r="CA152" i="39"/>
  <c r="CC152" i="39" s="1"/>
  <c r="M151" i="39"/>
  <c r="R151" i="39" s="1"/>
  <c r="CA151" i="39" s="1"/>
  <c r="CA150" i="39"/>
  <c r="CC150" i="39" s="1"/>
  <c r="CA149" i="39"/>
  <c r="AU148" i="39"/>
  <c r="CA148" i="39" s="1"/>
  <c r="M147" i="39"/>
  <c r="R147" i="39" s="1"/>
  <c r="CA147" i="39" s="1"/>
  <c r="AU146" i="39"/>
  <c r="CA146" i="39" s="1"/>
  <c r="R145" i="39"/>
  <c r="CA145" i="39" s="1"/>
  <c r="R144" i="39"/>
  <c r="CA144" i="39" s="1"/>
  <c r="CC144" i="39" s="1"/>
  <c r="R143" i="39"/>
  <c r="CA143" i="39" s="1"/>
  <c r="R142" i="39"/>
  <c r="CA142" i="39" s="1"/>
  <c r="AU141" i="39"/>
  <c r="CA141" i="39" s="1"/>
  <c r="CC141" i="39" s="1"/>
  <c r="R140" i="39"/>
  <c r="CA140" i="39" s="1"/>
  <c r="CA139" i="39"/>
  <c r="CA138" i="39"/>
  <c r="M138" i="39"/>
  <c r="L138" i="39"/>
  <c r="CA136" i="39"/>
  <c r="CC136" i="39" s="1"/>
  <c r="CA135" i="39"/>
  <c r="CC135" i="39" s="1"/>
  <c r="CA134" i="39"/>
  <c r="CB134" i="39" s="1"/>
  <c r="CA133" i="39"/>
  <c r="CC133" i="39" s="1"/>
  <c r="CA132" i="39"/>
  <c r="CC132" i="39" s="1"/>
  <c r="BU131" i="39"/>
  <c r="CA131" i="39" s="1"/>
  <c r="M131" i="39"/>
  <c r="L131" i="39"/>
  <c r="CA130" i="39"/>
  <c r="CC130" i="39" s="1"/>
  <c r="CA129" i="39"/>
  <c r="M129" i="39"/>
  <c r="L129" i="39"/>
  <c r="CA128" i="39"/>
  <c r="M128" i="39"/>
  <c r="L128" i="39"/>
  <c r="CA127" i="39"/>
  <c r="M127" i="39"/>
  <c r="L127" i="39"/>
  <c r="BU126" i="39"/>
  <c r="CA126" i="39" s="1"/>
  <c r="M126" i="39"/>
  <c r="CA125" i="39"/>
  <c r="CC125" i="39" s="1"/>
  <c r="CA124" i="39"/>
  <c r="CC124" i="39" s="1"/>
  <c r="AA123" i="39"/>
  <c r="CA123" i="39" s="1"/>
  <c r="AA122" i="39"/>
  <c r="CA122" i="39" s="1"/>
  <c r="CB122" i="39" s="1"/>
  <c r="CA121" i="39"/>
  <c r="CB121" i="39" s="1"/>
  <c r="CA120" i="39"/>
  <c r="CB120" i="39" s="1"/>
  <c r="CA119" i="39"/>
  <c r="CA118" i="39"/>
  <c r="CC118" i="39" s="1"/>
  <c r="CA117" i="39"/>
  <c r="CB117" i="39" s="1"/>
  <c r="CA116" i="39"/>
  <c r="CC116" i="39" s="1"/>
  <c r="CA115" i="39"/>
  <c r="CA114" i="39"/>
  <c r="CC114" i="39" s="1"/>
  <c r="CA113" i="39"/>
  <c r="CB113" i="39" s="1"/>
  <c r="CA112" i="39"/>
  <c r="CC112" i="39" s="1"/>
  <c r="CA111" i="39"/>
  <c r="CA109" i="39"/>
  <c r="CC109" i="39" s="1"/>
  <c r="CA108" i="39"/>
  <c r="CB108" i="39" s="1"/>
  <c r="CA107" i="39"/>
  <c r="CB107" i="39" s="1"/>
  <c r="CA106" i="39"/>
  <c r="CA105" i="39"/>
  <c r="CC105" i="39" s="1"/>
  <c r="CA103" i="39"/>
  <c r="CB103" i="39" s="1"/>
  <c r="CA102" i="39"/>
  <c r="CB102" i="39" s="1"/>
  <c r="CA101" i="39"/>
  <c r="CA100" i="39"/>
  <c r="CC100" i="39" s="1"/>
  <c r="AG99" i="39"/>
  <c r="CA99" i="39" s="1"/>
  <c r="AH97" i="39"/>
  <c r="CA96" i="39"/>
  <c r="CC96" i="39" s="1"/>
  <c r="CA95" i="39"/>
  <c r="CB95" i="39" s="1"/>
  <c r="AH94" i="39"/>
  <c r="CA94" i="39" s="1"/>
  <c r="CA93" i="39"/>
  <c r="CB93" i="39" s="1"/>
  <c r="CA92" i="39"/>
  <c r="CA91" i="39"/>
  <c r="CC91" i="39" s="1"/>
  <c r="CA90" i="39"/>
  <c r="CB90" i="39" s="1"/>
  <c r="CA89" i="39"/>
  <c r="CC89" i="39" s="1"/>
  <c r="CA88" i="39"/>
  <c r="CA87" i="39"/>
  <c r="CC87" i="39" s="1"/>
  <c r="AS24" i="39"/>
  <c r="CA24" i="39" s="1"/>
  <c r="M24" i="39"/>
  <c r="CA84" i="39"/>
  <c r="CC84" i="39" s="1"/>
  <c r="CA83" i="39"/>
  <c r="CB83" i="39" s="1"/>
  <c r="CA82" i="39"/>
  <c r="CC82" i="39" s="1"/>
  <c r="CA81" i="39"/>
  <c r="CC81" i="39" s="1"/>
  <c r="CA80" i="39"/>
  <c r="CC80" i="39" s="1"/>
  <c r="CA79" i="39"/>
  <c r="CB79" i="39" s="1"/>
  <c r="CA78" i="39"/>
  <c r="CC78" i="39" s="1"/>
  <c r="CA73" i="39"/>
  <c r="CC73" i="39" s="1"/>
  <c r="CA71" i="39"/>
  <c r="M71" i="39"/>
  <c r="L71" i="39"/>
  <c r="CA75" i="39"/>
  <c r="CC75" i="39" s="1"/>
  <c r="CA70" i="39"/>
  <c r="CC70" i="39" s="1"/>
  <c r="CA68" i="39"/>
  <c r="CB68" i="39" s="1"/>
  <c r="CA67" i="39"/>
  <c r="CC67" i="39" s="1"/>
  <c r="CA66" i="39"/>
  <c r="M64" i="39"/>
  <c r="L64" i="39"/>
  <c r="CA65" i="39"/>
  <c r="CB65" i="39" s="1"/>
  <c r="CA64" i="39"/>
  <c r="CA63" i="39"/>
  <c r="CC63" i="39" s="1"/>
  <c r="CA62" i="39"/>
  <c r="CB62" i="39" s="1"/>
  <c r="CA61" i="39"/>
  <c r="CB61" i="39" s="1"/>
  <c r="CA60" i="39"/>
  <c r="CA59" i="39"/>
  <c r="CC59" i="39" s="1"/>
  <c r="CA58" i="39"/>
  <c r="M57" i="39"/>
  <c r="L57" i="39"/>
  <c r="M55" i="39"/>
  <c r="L55" i="39"/>
  <c r="M54" i="39"/>
  <c r="L54" i="39"/>
  <c r="AQ39" i="39"/>
  <c r="CA39" i="39" s="1"/>
  <c r="CA38" i="39"/>
  <c r="CC38" i="39" s="1"/>
  <c r="CA37" i="39"/>
  <c r="CC37" i="39" s="1"/>
  <c r="CA36" i="39"/>
  <c r="CB36" i="39" s="1"/>
  <c r="BD35" i="39"/>
  <c r="BC35" i="39"/>
  <c r="CA34" i="39"/>
  <c r="CC34" i="39" s="1"/>
  <c r="CA33" i="39"/>
  <c r="CB33" i="39" s="1"/>
  <c r="CA32" i="39"/>
  <c r="M32" i="39"/>
  <c r="L32" i="39"/>
  <c r="J32" i="39"/>
  <c r="CA31" i="39"/>
  <c r="CC31" i="39" s="1"/>
  <c r="CA30" i="39"/>
  <c r="CB30" i="39" s="1"/>
  <c r="CA29" i="39"/>
  <c r="M29" i="39"/>
  <c r="CA28" i="39"/>
  <c r="CB28" i="39" s="1"/>
  <c r="CA27" i="39"/>
  <c r="AA26" i="39"/>
  <c r="CA26" i="39" s="1"/>
  <c r="CA25" i="39"/>
  <c r="CC25" i="39" s="1"/>
  <c r="U23" i="39"/>
  <c r="CA23" i="39" s="1"/>
  <c r="BD22" i="39"/>
  <c r="BC22" i="39"/>
  <c r="M22" i="39"/>
  <c r="L22" i="39"/>
  <c r="BD21" i="39"/>
  <c r="BC21" i="39"/>
  <c r="L21" i="39"/>
  <c r="CA19" i="39"/>
  <c r="CC19" i="39" s="1"/>
  <c r="CA18" i="39"/>
  <c r="CC18" i="39" s="1"/>
  <c r="CA17" i="39"/>
  <c r="CB17" i="39" s="1"/>
  <c r="U16" i="39"/>
  <c r="CA16" i="39" s="1"/>
  <c r="CC16" i="39" s="1"/>
  <c r="U15" i="39"/>
  <c r="CA14" i="39"/>
  <c r="CB14" i="39" s="1"/>
  <c r="CA13" i="39"/>
  <c r="CB13" i="39" s="1"/>
  <c r="U12" i="39"/>
  <c r="CA12" i="39" s="1"/>
  <c r="CC12" i="39" s="1"/>
  <c r="CA11" i="39"/>
  <c r="CC11" i="39" s="1"/>
  <c r="CA10" i="39"/>
  <c r="CC10" i="39" s="1"/>
  <c r="CA9" i="39"/>
  <c r="CB9" i="39" s="1"/>
  <c r="CA7" i="39"/>
  <c r="CC7" i="39" s="1"/>
  <c r="CA6" i="39"/>
  <c r="CC6" i="39" s="1"/>
  <c r="CA5" i="39"/>
  <c r="CC5" i="39" s="1"/>
  <c r="CA4" i="39"/>
  <c r="CB4" i="39" s="1"/>
  <c r="BT102" i="40" l="1"/>
  <c r="BV102" i="40" s="1"/>
  <c r="BT237" i="40"/>
  <c r="BV237" i="40" s="1"/>
  <c r="BT226" i="40"/>
  <c r="BV226" i="40" s="1"/>
  <c r="BT68" i="40"/>
  <c r="BV68" i="40" s="1"/>
  <c r="BT94" i="40"/>
  <c r="BV94" i="40" s="1"/>
  <c r="BV431" i="40"/>
  <c r="BT92" i="40"/>
  <c r="BU92" i="40" s="1"/>
  <c r="BT95" i="40"/>
  <c r="BT117" i="40"/>
  <c r="BU117" i="40" s="1"/>
  <c r="BV434" i="40"/>
  <c r="BU221" i="40"/>
  <c r="BV402" i="40"/>
  <c r="BV196" i="40"/>
  <c r="BV97" i="40"/>
  <c r="BU120" i="40"/>
  <c r="BU100" i="40"/>
  <c r="BU160" i="40"/>
  <c r="BU203" i="40"/>
  <c r="BU145" i="40"/>
  <c r="BV222" i="40"/>
  <c r="BV281" i="40"/>
  <c r="BU292" i="40"/>
  <c r="BV408" i="40"/>
  <c r="BU174" i="40"/>
  <c r="BU306" i="40"/>
  <c r="BV387" i="40"/>
  <c r="BV344" i="40"/>
  <c r="BV379" i="40"/>
  <c r="BV312" i="40"/>
  <c r="BU60" i="40"/>
  <c r="BV63" i="40"/>
  <c r="BV86" i="40"/>
  <c r="BU171" i="40"/>
  <c r="BU314" i="40"/>
  <c r="BV353" i="40"/>
  <c r="BU421" i="40"/>
  <c r="BU449" i="40"/>
  <c r="BU212" i="40"/>
  <c r="BU296" i="40"/>
  <c r="BU336" i="40"/>
  <c r="BU461" i="40"/>
  <c r="BU316" i="40"/>
  <c r="BV326" i="40"/>
  <c r="BV355" i="40"/>
  <c r="BV395" i="40"/>
  <c r="BV423" i="40"/>
  <c r="BU451" i="40"/>
  <c r="BU443" i="40"/>
  <c r="BU245" i="40"/>
  <c r="BU357" i="40"/>
  <c r="BV367" i="40"/>
  <c r="BV17" i="40"/>
  <c r="BV28" i="40"/>
  <c r="BU237" i="40"/>
  <c r="BV389" i="40"/>
  <c r="BU420" i="40"/>
  <c r="BU427" i="40"/>
  <c r="BV446" i="40"/>
  <c r="BU56" i="40"/>
  <c r="BV41" i="40"/>
  <c r="BV73" i="40"/>
  <c r="BV198" i="40"/>
  <c r="BV381" i="40"/>
  <c r="BU87" i="40"/>
  <c r="BV239" i="40"/>
  <c r="BU294" i="40"/>
  <c r="BU167" i="40"/>
  <c r="BV377" i="40"/>
  <c r="BU439" i="40"/>
  <c r="BV18" i="40"/>
  <c r="BV90" i="40"/>
  <c r="BU141" i="40"/>
  <c r="BU179" i="40"/>
  <c r="BU199" i="40"/>
  <c r="BU223" i="40"/>
  <c r="BV308" i="40"/>
  <c r="BV349" i="40"/>
  <c r="BV383" i="40"/>
  <c r="BV399" i="40"/>
  <c r="BU455" i="40"/>
  <c r="BV117" i="40"/>
  <c r="BV136" i="40"/>
  <c r="BV219" i="40"/>
  <c r="BV235" i="40"/>
  <c r="BV243" i="40"/>
  <c r="BV447" i="40"/>
  <c r="BU144" i="40"/>
  <c r="BU154" i="40"/>
  <c r="BU168" i="40"/>
  <c r="BV195" i="40"/>
  <c r="BU311" i="40"/>
  <c r="BU337" i="40"/>
  <c r="BU369" i="40"/>
  <c r="BV393" i="40"/>
  <c r="BV401" i="40"/>
  <c r="BV410" i="40"/>
  <c r="BU425" i="40"/>
  <c r="BU433" i="40"/>
  <c r="BU463" i="40"/>
  <c r="BU125" i="40"/>
  <c r="BV29" i="40"/>
  <c r="BU49" i="40"/>
  <c r="BU225" i="40"/>
  <c r="BU68" i="40"/>
  <c r="BU76" i="40"/>
  <c r="BU457" i="40"/>
  <c r="BV69" i="40"/>
  <c r="BV77" i="40"/>
  <c r="BV139" i="40"/>
  <c r="BV256" i="40"/>
  <c r="BV338" i="40"/>
  <c r="BV66" i="40"/>
  <c r="BU33" i="40"/>
  <c r="BV435" i="40"/>
  <c r="BV458" i="40"/>
  <c r="BU210" i="40"/>
  <c r="BV342" i="40"/>
  <c r="BV6" i="40"/>
  <c r="BU54" i="40"/>
  <c r="BV131" i="40"/>
  <c r="BU247" i="40"/>
  <c r="BV269" i="40"/>
  <c r="BV406" i="40"/>
  <c r="BV459" i="40"/>
  <c r="BV55" i="40"/>
  <c r="BU72" i="40"/>
  <c r="BU80" i="40"/>
  <c r="BV208" i="40"/>
  <c r="BV390" i="40"/>
  <c r="BU415" i="40"/>
  <c r="BV422" i="40"/>
  <c r="BU437" i="40"/>
  <c r="BU445" i="40"/>
  <c r="BV254" i="40"/>
  <c r="BU254" i="40"/>
  <c r="BV284" i="40"/>
  <c r="BU284" i="40"/>
  <c r="BV276" i="40"/>
  <c r="BU276" i="40"/>
  <c r="BU320" i="40"/>
  <c r="BV320" i="40"/>
  <c r="BU331" i="40"/>
  <c r="BV331" i="40"/>
  <c r="BV227" i="40"/>
  <c r="BU227" i="40"/>
  <c r="BV101" i="40"/>
  <c r="BU101" i="40"/>
  <c r="BU257" i="40"/>
  <c r="BV257" i="40"/>
  <c r="BU79" i="40"/>
  <c r="BV79" i="40"/>
  <c r="BU10" i="40"/>
  <c r="BV10" i="40"/>
  <c r="BV65" i="40"/>
  <c r="BU175" i="40"/>
  <c r="BU226" i="40"/>
  <c r="BU251" i="40"/>
  <c r="BU288" i="40"/>
  <c r="BU7" i="40"/>
  <c r="BU12" i="40"/>
  <c r="BU39" i="40"/>
  <c r="BV45" i="40"/>
  <c r="BV57" i="40"/>
  <c r="BU70" i="40"/>
  <c r="BU74" i="40"/>
  <c r="BU78" i="40"/>
  <c r="BU132" i="40"/>
  <c r="BU140" i="40"/>
  <c r="BU146" i="40"/>
  <c r="BU217" i="40"/>
  <c r="BV231" i="40"/>
  <c r="BU264" i="40"/>
  <c r="BV270" i="40"/>
  <c r="BU302" i="40"/>
  <c r="BV321" i="40"/>
  <c r="BV363" i="40"/>
  <c r="BU185" i="40"/>
  <c r="BV40" i="40"/>
  <c r="BU310" i="40"/>
  <c r="BV322" i="40"/>
  <c r="BU329" i="40"/>
  <c r="BV333" i="40"/>
  <c r="BU351" i="40"/>
  <c r="BV371" i="40"/>
  <c r="BU385" i="40"/>
  <c r="BU397" i="40"/>
  <c r="BV417" i="40"/>
  <c r="BU8" i="40"/>
  <c r="BU14" i="40"/>
  <c r="BU21" i="40"/>
  <c r="BV47" i="40"/>
  <c r="BU53" i="40"/>
  <c r="BU67" i="40"/>
  <c r="BU71" i="40"/>
  <c r="BU75" i="40"/>
  <c r="BU126" i="40"/>
  <c r="BU148" i="40"/>
  <c r="BU155" i="40"/>
  <c r="BU161" i="40"/>
  <c r="BU194" i="40"/>
  <c r="BU204" i="40"/>
  <c r="BU218" i="40"/>
  <c r="BU233" i="40"/>
  <c r="BV253" i="40"/>
  <c r="BV265" i="40"/>
  <c r="BU290" i="40"/>
  <c r="BU304" i="40"/>
  <c r="BU365" i="40"/>
  <c r="BV391" i="40"/>
  <c r="BV404" i="40"/>
  <c r="BU429" i="40"/>
  <c r="BU441" i="40"/>
  <c r="BU453" i="40"/>
  <c r="BU109" i="40"/>
  <c r="BV124" i="40"/>
  <c r="BV9" i="40"/>
  <c r="BU35" i="40"/>
  <c r="BU48" i="40"/>
  <c r="BU99" i="40"/>
  <c r="BU127" i="40"/>
  <c r="BU156" i="40"/>
  <c r="BU162" i="40"/>
  <c r="BU173" i="40"/>
  <c r="BV188" i="40"/>
  <c r="BU241" i="40"/>
  <c r="BU273" i="40"/>
  <c r="BU279" i="40"/>
  <c r="BU298" i="40"/>
  <c r="BU318" i="40"/>
  <c r="BU324" i="40"/>
  <c r="BU330" i="40"/>
  <c r="BU340" i="40"/>
  <c r="BU347" i="40"/>
  <c r="BV359" i="40"/>
  <c r="BU373" i="40"/>
  <c r="BV386" i="40"/>
  <c r="BV398" i="40"/>
  <c r="BU411" i="40"/>
  <c r="BU419" i="40"/>
  <c r="BV430" i="40"/>
  <c r="BV442" i="40"/>
  <c r="BV454" i="40"/>
  <c r="BV466" i="40"/>
  <c r="BV25" i="40"/>
  <c r="BU50" i="40"/>
  <c r="BU83" i="40"/>
  <c r="BU153" i="40"/>
  <c r="BV32" i="40"/>
  <c r="BU170" i="40"/>
  <c r="BV5" i="40"/>
  <c r="BU23" i="40"/>
  <c r="BV36" i="40"/>
  <c r="BU43" i="40"/>
  <c r="BU94" i="40"/>
  <c r="BU106" i="40"/>
  <c r="BU121" i="40"/>
  <c r="BV151" i="40"/>
  <c r="BU157" i="40"/>
  <c r="BU184" i="40"/>
  <c r="BU200" i="40"/>
  <c r="BU229" i="40"/>
  <c r="BU242" i="40"/>
  <c r="BU268" i="40"/>
  <c r="BU27" i="40"/>
  <c r="BU249" i="40"/>
  <c r="BU286" i="40"/>
  <c r="BU300" i="40"/>
  <c r="BV325" i="40"/>
  <c r="BU361" i="40"/>
  <c r="BV413" i="40"/>
  <c r="BU163" i="40"/>
  <c r="BU31" i="40"/>
  <c r="BV37" i="40"/>
  <c r="BV44" i="40"/>
  <c r="BU82" i="40"/>
  <c r="BU152" i="40"/>
  <c r="BU230" i="40"/>
  <c r="BV375" i="40"/>
  <c r="BV394" i="40"/>
  <c r="BV407" i="40"/>
  <c r="BV426" i="40"/>
  <c r="BV438" i="40"/>
  <c r="BV450" i="40"/>
  <c r="BV462" i="40"/>
  <c r="CB398" i="39"/>
  <c r="CA316" i="39"/>
  <c r="CC316" i="39" s="1"/>
  <c r="CA22" i="39"/>
  <c r="CC22" i="39" s="1"/>
  <c r="CA314" i="39"/>
  <c r="CC314" i="39" s="1"/>
  <c r="CC153" i="39"/>
  <c r="CA324" i="39"/>
  <c r="CB324" i="39" s="1"/>
  <c r="CB387" i="39"/>
  <c r="CA278" i="39"/>
  <c r="CC278" i="39" s="1"/>
  <c r="CA35" i="39"/>
  <c r="CC35" i="39" s="1"/>
  <c r="CC280" i="39"/>
  <c r="CA310" i="39"/>
  <c r="CB310" i="39" s="1"/>
  <c r="CC478" i="39"/>
  <c r="CB492" i="39"/>
  <c r="CB29" i="39"/>
  <c r="CB128" i="39"/>
  <c r="CA323" i="39"/>
  <c r="CC323" i="39" s="1"/>
  <c r="CA300" i="39"/>
  <c r="CB300" i="39" s="1"/>
  <c r="CA293" i="39"/>
  <c r="CB293" i="39" s="1"/>
  <c r="CA302" i="39"/>
  <c r="CC302" i="39" s="1"/>
  <c r="CA318" i="39"/>
  <c r="CC318" i="39" s="1"/>
  <c r="CC127" i="39"/>
  <c r="CB32" i="39"/>
  <c r="CA320" i="39"/>
  <c r="CC320" i="39" s="1"/>
  <c r="CC340" i="39"/>
  <c r="CC377" i="39"/>
  <c r="CC412" i="39"/>
  <c r="CC516" i="39"/>
  <c r="CC481" i="39"/>
  <c r="CC58" i="39"/>
  <c r="CA283" i="39"/>
  <c r="CC283" i="39" s="1"/>
  <c r="CA21" i="39"/>
  <c r="CB21" i="39" s="1"/>
  <c r="CA86" i="39"/>
  <c r="CB86" i="39" s="1"/>
  <c r="CC474" i="39"/>
  <c r="CA190" i="39"/>
  <c r="CC190" i="39" s="1"/>
  <c r="CC247" i="39"/>
  <c r="CA325" i="39"/>
  <c r="CB453" i="39"/>
  <c r="CC137" i="39"/>
  <c r="CB228" i="39"/>
  <c r="CB374" i="39"/>
  <c r="CB280" i="39"/>
  <c r="CB269" i="39"/>
  <c r="CB240" i="39"/>
  <c r="CC440" i="39"/>
  <c r="CC450" i="39"/>
  <c r="CC66" i="39"/>
  <c r="CB251" i="39"/>
  <c r="CC442" i="39"/>
  <c r="CC452" i="39"/>
  <c r="CC462" i="39"/>
  <c r="CC298" i="39"/>
  <c r="CC149" i="39"/>
  <c r="CB130" i="39"/>
  <c r="CC17" i="39"/>
  <c r="CB433" i="39"/>
  <c r="CC468" i="39"/>
  <c r="CC495" i="39"/>
  <c r="CB297" i="39"/>
  <c r="CB496" i="39"/>
  <c r="CB58" i="39"/>
  <c r="CC215" i="39"/>
  <c r="CB443" i="39"/>
  <c r="CB461" i="39"/>
  <c r="CB470" i="39"/>
  <c r="CB486" i="39"/>
  <c r="CC508" i="39"/>
  <c r="CB498" i="39"/>
  <c r="CC477" i="39"/>
  <c r="CC161" i="39"/>
  <c r="CB216" i="39"/>
  <c r="CC267" i="39"/>
  <c r="CB273" i="39"/>
  <c r="CB437" i="39"/>
  <c r="CC444" i="39"/>
  <c r="CB510" i="39"/>
  <c r="CC129" i="39"/>
  <c r="CB268" i="39"/>
  <c r="CB339" i="39"/>
  <c r="CC408" i="39"/>
  <c r="CB438" i="39"/>
  <c r="CC473" i="39"/>
  <c r="CC480" i="39"/>
  <c r="CC446" i="39"/>
  <c r="CB335" i="39"/>
  <c r="CC199" i="39"/>
  <c r="CC4" i="39"/>
  <c r="CC244" i="39"/>
  <c r="CC332" i="39"/>
  <c r="CC356" i="39"/>
  <c r="CC399" i="39"/>
  <c r="CB5" i="39"/>
  <c r="CC24" i="39"/>
  <c r="CC214" i="39"/>
  <c r="CB249" i="39"/>
  <c r="CB266" i="39"/>
  <c r="CB357" i="39"/>
  <c r="CB376" i="39"/>
  <c r="CB434" i="39"/>
  <c r="CB441" i="39"/>
  <c r="CB455" i="39"/>
  <c r="CC469" i="39"/>
  <c r="CC483" i="39"/>
  <c r="CB502" i="39"/>
  <c r="CB509" i="39"/>
  <c r="CB226" i="39"/>
  <c r="CC346" i="39"/>
  <c r="CB447" i="39"/>
  <c r="CC134" i="39"/>
  <c r="CB204" i="39"/>
  <c r="CB258" i="39"/>
  <c r="CB288" i="39"/>
  <c r="CB347" i="39"/>
  <c r="CC464" i="39"/>
  <c r="CB516" i="39"/>
  <c r="CB301" i="39"/>
  <c r="CC351" i="39"/>
  <c r="CB370" i="39"/>
  <c r="CB465" i="39"/>
  <c r="CB337" i="39"/>
  <c r="CB493" i="39"/>
  <c r="CC367" i="39"/>
  <c r="CB10" i="39"/>
  <c r="CB114" i="39"/>
  <c r="CC138" i="39"/>
  <c r="CC222" i="39"/>
  <c r="CC371" i="39"/>
  <c r="CB466" i="39"/>
  <c r="CC472" i="39"/>
  <c r="CB505" i="39"/>
  <c r="CC156" i="39"/>
  <c r="CB247" i="39"/>
  <c r="CB262" i="39"/>
  <c r="CB305" i="39"/>
  <c r="CB390" i="39"/>
  <c r="CC512" i="39"/>
  <c r="CB394" i="39"/>
  <c r="CB105" i="39"/>
  <c r="CC263" i="39"/>
  <c r="CC306" i="39"/>
  <c r="CB355" i="39"/>
  <c r="CB382" i="39"/>
  <c r="CB421" i="39"/>
  <c r="CB439" i="39"/>
  <c r="CB513" i="39"/>
  <c r="CC29" i="39"/>
  <c r="CC36" i="39"/>
  <c r="CB82" i="39"/>
  <c r="CB127" i="39"/>
  <c r="CC167" i="39"/>
  <c r="CB233" i="39"/>
  <c r="CB241" i="39"/>
  <c r="CB270" i="39"/>
  <c r="CC328" i="39"/>
  <c r="CC336" i="39"/>
  <c r="CB99" i="39"/>
  <c r="CC99" i="39"/>
  <c r="CB162" i="39"/>
  <c r="CC162" i="39"/>
  <c r="CB164" i="39"/>
  <c r="CC164" i="39"/>
  <c r="CB159" i="39"/>
  <c r="CC159" i="39"/>
  <c r="CB165" i="39"/>
  <c r="CC165" i="39"/>
  <c r="CB411" i="39"/>
  <c r="CC411" i="39"/>
  <c r="CB344" i="39"/>
  <c r="CC344" i="39"/>
  <c r="CC62" i="39"/>
  <c r="CC68" i="39"/>
  <c r="CB7" i="39"/>
  <c r="CB133" i="39"/>
  <c r="CB70" i="39"/>
  <c r="CC90" i="39"/>
  <c r="CC108" i="39"/>
  <c r="CC117" i="39"/>
  <c r="CB124" i="39"/>
  <c r="CC128" i="39"/>
  <c r="CC163" i="39"/>
  <c r="CC168" i="39"/>
  <c r="CC176" i="39"/>
  <c r="CC185" i="39"/>
  <c r="CB192" i="39"/>
  <c r="CB200" i="39"/>
  <c r="CB209" i="39"/>
  <c r="CC259" i="39"/>
  <c r="CC271" i="39"/>
  <c r="CB378" i="39"/>
  <c r="CB402" i="39"/>
  <c r="CC410" i="39"/>
  <c r="CB424" i="39"/>
  <c r="CC458" i="39"/>
  <c r="CC514" i="39"/>
  <c r="CB91" i="39"/>
  <c r="CB100" i="39"/>
  <c r="CB109" i="39"/>
  <c r="CB118" i="39"/>
  <c r="CC158" i="39"/>
  <c r="CC235" i="39"/>
  <c r="CC248" i="39"/>
  <c r="CB253" i="39"/>
  <c r="CC260" i="39"/>
  <c r="CC220" i="39"/>
  <c r="CC417" i="39"/>
  <c r="CB431" i="39"/>
  <c r="CC448" i="39"/>
  <c r="CB454" i="39"/>
  <c r="CB459" i="39"/>
  <c r="CC500" i="39"/>
  <c r="CC9" i="39"/>
  <c r="CB16" i="39"/>
  <c r="CC30" i="39"/>
  <c r="CC83" i="39"/>
  <c r="CB153" i="39"/>
  <c r="CB171" i="39"/>
  <c r="CB179" i="39"/>
  <c r="CB188" i="39"/>
  <c r="CC195" i="39"/>
  <c r="CB219" i="39"/>
  <c r="CC254" i="39"/>
  <c r="CB261" i="39"/>
  <c r="CB366" i="39"/>
  <c r="CC406" i="39"/>
  <c r="CB418" i="39"/>
  <c r="CB426" i="39"/>
  <c r="CC432" i="39"/>
  <c r="CB449" i="39"/>
  <c r="CC460" i="39"/>
  <c r="CC476" i="39"/>
  <c r="CB489" i="39"/>
  <c r="CB501" i="39"/>
  <c r="CB506" i="39"/>
  <c r="CB511" i="39"/>
  <c r="CC121" i="39"/>
  <c r="CC180" i="39"/>
  <c r="CB67" i="39"/>
  <c r="CC103" i="39"/>
  <c r="CC113" i="39"/>
  <c r="CC172" i="39"/>
  <c r="CC189" i="39"/>
  <c r="CB196" i="39"/>
  <c r="CB18" i="39"/>
  <c r="CB25" i="39"/>
  <c r="CC32" i="39"/>
  <c r="CB78" i="39"/>
  <c r="CC95" i="39"/>
  <c r="CC147" i="39"/>
  <c r="CC205" i="39"/>
  <c r="CC224" i="39"/>
  <c r="CB230" i="39"/>
  <c r="CB257" i="39"/>
  <c r="CC289" i="39"/>
  <c r="CB309" i="39"/>
  <c r="CC343" i="39"/>
  <c r="CB360" i="39"/>
  <c r="CC383" i="39"/>
  <c r="CB427" i="39"/>
  <c r="CB445" i="39"/>
  <c r="CC456" i="39"/>
  <c r="CC491" i="39"/>
  <c r="CC79" i="39"/>
  <c r="CC122" i="39"/>
  <c r="CB246" i="39"/>
  <c r="CC282" i="39"/>
  <c r="CC330" i="39"/>
  <c r="CC361" i="39"/>
  <c r="CB392" i="39"/>
  <c r="CB414" i="39"/>
  <c r="CC428" i="39"/>
  <c r="CB457" i="39"/>
  <c r="CB484" i="39"/>
  <c r="CB175" i="39"/>
  <c r="CB184" i="39"/>
  <c r="CC191" i="39"/>
  <c r="CC14" i="39"/>
  <c r="CC33" i="39"/>
  <c r="CB265" i="39"/>
  <c r="CB292" i="39"/>
  <c r="CB362" i="39"/>
  <c r="CB386" i="39"/>
  <c r="CC393" i="39"/>
  <c r="CB429" i="39"/>
  <c r="CC436" i="39"/>
  <c r="CC485" i="39"/>
  <c r="CC504" i="39"/>
  <c r="CB373" i="39"/>
  <c r="CC373" i="39"/>
  <c r="CC143" i="39"/>
  <c r="CB143" i="39"/>
  <c r="CB193" i="39"/>
  <c r="CC193" i="39"/>
  <c r="CB201" i="39"/>
  <c r="CC201" i="39"/>
  <c r="CB272" i="39"/>
  <c r="CC272" i="39"/>
  <c r="CC515" i="39"/>
  <c r="CB515" i="39"/>
  <c r="BV158" i="40"/>
  <c r="BU158" i="40"/>
  <c r="CB92" i="39"/>
  <c r="CC92" i="39"/>
  <c r="CB319" i="39"/>
  <c r="CC319" i="39"/>
  <c r="CC341" i="39"/>
  <c r="CB341" i="39"/>
  <c r="CB389" i="39"/>
  <c r="CC389" i="39"/>
  <c r="BU91" i="40"/>
  <c r="CC71" i="39"/>
  <c r="CB71" i="39"/>
  <c r="CC23" i="39"/>
  <c r="CB23" i="39"/>
  <c r="CC94" i="39"/>
  <c r="CB94" i="39"/>
  <c r="CB145" i="39"/>
  <c r="CC145" i="39"/>
  <c r="CB223" i="39"/>
  <c r="CC223" i="39"/>
  <c r="CC419" i="39"/>
  <c r="CB419" i="39"/>
  <c r="CC490" i="39"/>
  <c r="CB490" i="39"/>
  <c r="BU85" i="40"/>
  <c r="BV85" i="40"/>
  <c r="BV277" i="40"/>
  <c r="BU277" i="40"/>
  <c r="CC111" i="39"/>
  <c r="CB111" i="39"/>
  <c r="CB12" i="39"/>
  <c r="CC154" i="39"/>
  <c r="CB154" i="39"/>
  <c r="BV172" i="40"/>
  <c r="BU172" i="40"/>
  <c r="CC151" i="39"/>
  <c r="CB151" i="39"/>
  <c r="CB119" i="39"/>
  <c r="CC119" i="39"/>
  <c r="CC146" i="39"/>
  <c r="CB146" i="39"/>
  <c r="CC238" i="39"/>
  <c r="CB238" i="39"/>
  <c r="CC60" i="39"/>
  <c r="CB60" i="39"/>
  <c r="CB139" i="39"/>
  <c r="CC139" i="39"/>
  <c r="CB197" i="39"/>
  <c r="CC197" i="39"/>
  <c r="CC26" i="39"/>
  <c r="CB26" i="39"/>
  <c r="CC39" i="39"/>
  <c r="CC131" i="39"/>
  <c r="CB131" i="39"/>
  <c r="CC140" i="39"/>
  <c r="CB140" i="39"/>
  <c r="CB166" i="39"/>
  <c r="CC166" i="39"/>
  <c r="CB290" i="39"/>
  <c r="CC290" i="39"/>
  <c r="CC126" i="39"/>
  <c r="CB126" i="39"/>
  <c r="CB27" i="39"/>
  <c r="CC27" i="39"/>
  <c r="CB88" i="39"/>
  <c r="CC88" i="39"/>
  <c r="CB106" i="39"/>
  <c r="CC106" i="39"/>
  <c r="CB115" i="39"/>
  <c r="CC115" i="39"/>
  <c r="CC148" i="39"/>
  <c r="CB148" i="39"/>
  <c r="BV15" i="40"/>
  <c r="BU15" i="40"/>
  <c r="CC287" i="39"/>
  <c r="CB287" i="39"/>
  <c r="CC123" i="39"/>
  <c r="CB123" i="39"/>
  <c r="CC409" i="39"/>
  <c r="CB409" i="39"/>
  <c r="BV113" i="40"/>
  <c r="BU113" i="40"/>
  <c r="CC252" i="39"/>
  <c r="CB252" i="39"/>
  <c r="CB304" i="39"/>
  <c r="CC304" i="39"/>
  <c r="CB338" i="39"/>
  <c r="CC338" i="39"/>
  <c r="CC463" i="39"/>
  <c r="CB463" i="39"/>
  <c r="CB101" i="39"/>
  <c r="CC101" i="39"/>
  <c r="CC243" i="39"/>
  <c r="CB243" i="39"/>
  <c r="CC281" i="39"/>
  <c r="CB281" i="39"/>
  <c r="R157" i="39"/>
  <c r="CA157" i="39" s="1"/>
  <c r="CC157" i="39" s="1"/>
  <c r="CB64" i="39"/>
  <c r="CC64" i="39"/>
  <c r="CB142" i="39"/>
  <c r="CC142" i="39"/>
  <c r="CB234" i="39"/>
  <c r="CC234" i="39"/>
  <c r="CC416" i="39"/>
  <c r="CB416" i="39"/>
  <c r="BV26" i="40"/>
  <c r="BU26" i="40"/>
  <c r="BV38" i="40"/>
  <c r="BU38" i="40"/>
  <c r="BU133" i="40"/>
  <c r="BV133" i="40"/>
  <c r="BV211" i="40"/>
  <c r="BU211" i="40"/>
  <c r="BV271" i="40"/>
  <c r="BU271" i="40"/>
  <c r="BV282" i="40"/>
  <c r="BU282" i="40"/>
  <c r="CB31" i="39"/>
  <c r="CB34" i="39"/>
  <c r="CB37" i="39"/>
  <c r="CB80" i="39"/>
  <c r="CB84" i="39"/>
  <c r="CB96" i="39"/>
  <c r="CB135" i="39"/>
  <c r="AT160" i="39"/>
  <c r="CA160" i="39" s="1"/>
  <c r="CB160" i="39" s="1"/>
  <c r="CB169" i="39"/>
  <c r="CB173" i="39"/>
  <c r="CB177" i="39"/>
  <c r="CB181" i="39"/>
  <c r="CB186" i="39"/>
  <c r="CC206" i="39"/>
  <c r="CB212" i="39"/>
  <c r="CC217" i="39"/>
  <c r="CB286" i="39"/>
  <c r="CB294" i="39"/>
  <c r="CC299" i="39"/>
  <c r="CB307" i="39"/>
  <c r="CB311" i="39"/>
  <c r="CB352" i="39"/>
  <c r="CB363" i="39"/>
  <c r="CB368" i="39"/>
  <c r="CB379" i="39"/>
  <c r="CB384" i="39"/>
  <c r="CB395" i="39"/>
  <c r="CB400" i="39"/>
  <c r="CC407" i="39"/>
  <c r="CB407" i="39"/>
  <c r="CB422" i="39"/>
  <c r="BU107" i="40"/>
  <c r="BV159" i="40"/>
  <c r="BU159" i="40"/>
  <c r="BV283" i="40"/>
  <c r="BU283" i="40"/>
  <c r="BV356" i="40"/>
  <c r="BU356" i="40"/>
  <c r="CB89" i="39"/>
  <c r="CB116" i="39"/>
  <c r="BU266" i="40"/>
  <c r="BV266" i="40"/>
  <c r="BV364" i="40"/>
  <c r="BU364" i="40"/>
  <c r="CB248" i="39"/>
  <c r="CB112" i="39"/>
  <c r="CB198" i="39"/>
  <c r="CC369" i="39"/>
  <c r="CC13" i="39"/>
  <c r="CC28" i="39"/>
  <c r="CB38" i="39"/>
  <c r="CC61" i="39"/>
  <c r="CC65" i="39"/>
  <c r="CB73" i="39"/>
  <c r="CB81" i="39"/>
  <c r="CC93" i="39"/>
  <c r="CC102" i="39"/>
  <c r="CC107" i="39"/>
  <c r="CC120" i="39"/>
  <c r="CB129" i="39"/>
  <c r="CB132" i="39"/>
  <c r="CB136" i="39"/>
  <c r="CB152" i="39"/>
  <c r="CB155" i="39"/>
  <c r="CB170" i="39"/>
  <c r="CB174" i="39"/>
  <c r="CB178" i="39"/>
  <c r="CB182" i="39"/>
  <c r="CB187" i="39"/>
  <c r="CC194" i="39"/>
  <c r="CC202" i="39"/>
  <c r="CB208" i="39"/>
  <c r="CB213" i="39"/>
  <c r="CB217" i="39"/>
  <c r="CB225" i="39"/>
  <c r="CB229" i="39"/>
  <c r="CB245" i="39"/>
  <c r="CB264" i="39"/>
  <c r="CB220" i="39"/>
  <c r="CC291" i="39"/>
  <c r="CC295" i="39"/>
  <c r="CC303" i="39"/>
  <c r="CC308" i="39"/>
  <c r="CB329" i="39"/>
  <c r="CB345" i="39"/>
  <c r="CB353" i="39"/>
  <c r="CB359" i="39"/>
  <c r="CB364" i="39"/>
  <c r="CB375" i="39"/>
  <c r="CB380" i="39"/>
  <c r="CB391" i="39"/>
  <c r="CB396" i="39"/>
  <c r="CC413" i="39"/>
  <c r="CB413" i="39"/>
  <c r="CB423" i="39"/>
  <c r="CB479" i="39"/>
  <c r="CB507" i="39"/>
  <c r="BV11" i="40"/>
  <c r="BV22" i="40"/>
  <c r="BV34" i="40"/>
  <c r="BU34" i="40"/>
  <c r="BV46" i="40"/>
  <c r="BU46" i="40"/>
  <c r="BU64" i="40"/>
  <c r="BU81" i="40"/>
  <c r="BU128" i="40"/>
  <c r="BV147" i="40"/>
  <c r="BU189" i="40"/>
  <c r="BV259" i="40"/>
  <c r="BV345" i="40"/>
  <c r="BU345" i="40"/>
  <c r="CC401" i="39"/>
  <c r="BU108" i="40"/>
  <c r="BU416" i="40"/>
  <c r="CB149" i="39"/>
  <c r="CC203" i="39"/>
  <c r="CB203" i="39"/>
  <c r="CC218" i="39"/>
  <c r="CB218" i="39"/>
  <c r="CC221" i="39"/>
  <c r="CB221" i="39"/>
  <c r="CC322" i="39"/>
  <c r="CB322" i="39"/>
  <c r="CC354" i="39"/>
  <c r="CB354" i="39"/>
  <c r="BU98" i="40"/>
  <c r="BU122" i="40"/>
  <c r="BV323" i="40"/>
  <c r="BU323" i="40"/>
  <c r="BV334" i="40"/>
  <c r="BU334" i="40"/>
  <c r="CC279" i="39"/>
  <c r="CB279" i="39"/>
  <c r="CC385" i="39"/>
  <c r="CB24" i="39"/>
  <c r="CC250" i="39"/>
  <c r="CB250" i="39"/>
  <c r="CC365" i="39"/>
  <c r="CC381" i="39"/>
  <c r="CC397" i="39"/>
  <c r="CB475" i="39"/>
  <c r="CB503" i="39"/>
  <c r="BV58" i="40"/>
  <c r="BU102" i="40"/>
  <c r="BV123" i="40"/>
  <c r="BU123" i="40"/>
  <c r="BU130" i="40"/>
  <c r="BV130" i="40"/>
  <c r="BV137" i="40"/>
  <c r="BU142" i="40"/>
  <c r="BT180" i="40"/>
  <c r="CB163" i="39"/>
  <c r="BV24" i="40"/>
  <c r="BU24" i="40"/>
  <c r="BV103" i="40"/>
  <c r="BU103" i="40"/>
  <c r="BV143" i="40"/>
  <c r="BU143" i="40"/>
  <c r="BV250" i="40"/>
  <c r="BU250" i="40"/>
  <c r="CC312" i="39"/>
  <c r="CB6" i="39"/>
  <c r="CB11" i="39"/>
  <c r="CB19" i="39"/>
  <c r="CB66" i="39"/>
  <c r="CB75" i="39"/>
  <c r="CB125" i="39"/>
  <c r="CB141" i="39"/>
  <c r="CB144" i="39"/>
  <c r="CB150" i="39"/>
  <c r="CC232" i="39"/>
  <c r="CB232" i="39"/>
  <c r="CB237" i="39"/>
  <c r="CB255" i="39"/>
  <c r="CC317" i="39"/>
  <c r="CB326" i="39"/>
  <c r="CA331" i="39"/>
  <c r="CB405" i="39"/>
  <c r="CB415" i="39"/>
  <c r="CC425" i="39"/>
  <c r="CB425" i="39"/>
  <c r="CB430" i="39"/>
  <c r="CB435" i="39"/>
  <c r="CB451" i="39"/>
  <c r="CB471" i="39"/>
  <c r="CB499" i="39"/>
  <c r="BV4" i="40"/>
  <c r="BV19" i="40"/>
  <c r="BU19" i="40"/>
  <c r="BV30" i="40"/>
  <c r="BU30" i="40"/>
  <c r="BV42" i="40"/>
  <c r="BU42" i="40"/>
  <c r="BV59" i="40"/>
  <c r="BV118" i="40"/>
  <c r="BV138" i="40"/>
  <c r="BV216" i="40"/>
  <c r="BU216" i="40"/>
  <c r="BU299" i="40"/>
  <c r="CC239" i="39"/>
  <c r="CB239" i="39"/>
  <c r="CC358" i="39"/>
  <c r="CB358" i="39"/>
  <c r="CC334" i="39"/>
  <c r="CB39" i="39"/>
  <c r="CB59" i="39"/>
  <c r="CB63" i="39"/>
  <c r="CB87" i="39"/>
  <c r="CB138" i="39"/>
  <c r="CB147" i="39"/>
  <c r="CB222" i="39"/>
  <c r="CC420" i="39"/>
  <c r="CB420" i="39"/>
  <c r="BU4" i="40"/>
  <c r="BU95" i="40"/>
  <c r="BV95" i="40"/>
  <c r="BV119" i="40"/>
  <c r="BU119" i="40"/>
  <c r="BU166" i="40"/>
  <c r="BV176" i="40"/>
  <c r="BV238" i="40"/>
  <c r="BU238" i="40"/>
  <c r="BV16" i="40"/>
  <c r="BU16" i="40"/>
  <c r="CC210" i="39"/>
  <c r="CC227" i="39"/>
  <c r="CB242" i="39"/>
  <c r="CC284" i="39"/>
  <c r="CA315" i="39"/>
  <c r="CA327" i="39"/>
  <c r="CB372" i="39"/>
  <c r="CB388" i="39"/>
  <c r="CB467" i="39"/>
  <c r="CB494" i="39"/>
  <c r="BV177" i="40"/>
  <c r="BU177" i="40"/>
  <c r="BU287" i="40"/>
  <c r="BU112" i="40"/>
  <c r="BV193" i="40"/>
  <c r="BU193" i="40"/>
  <c r="BV215" i="40"/>
  <c r="BU215" i="40"/>
  <c r="BV220" i="40"/>
  <c r="BU220" i="40"/>
  <c r="BV327" i="40"/>
  <c r="BU327" i="40"/>
  <c r="BV376" i="40"/>
  <c r="BU376" i="40"/>
  <c r="BV384" i="40"/>
  <c r="BU384" i="40"/>
  <c r="BV396" i="40"/>
  <c r="BU396" i="40"/>
  <c r="BV409" i="40"/>
  <c r="BU409" i="40"/>
  <c r="BV181" i="40"/>
  <c r="BU181" i="40"/>
  <c r="BT186" i="40"/>
  <c r="BV255" i="40"/>
  <c r="BU255" i="40"/>
  <c r="BV260" i="40"/>
  <c r="BU260" i="40"/>
  <c r="BV372" i="40"/>
  <c r="BU372" i="40"/>
  <c r="M468" i="40"/>
  <c r="BV261" i="40"/>
  <c r="BU261" i="40"/>
  <c r="BV267" i="40"/>
  <c r="BU267" i="40"/>
  <c r="BV352" i="40"/>
  <c r="BU352" i="40"/>
  <c r="BV392" i="40"/>
  <c r="BU392" i="40"/>
  <c r="BV405" i="40"/>
  <c r="BU405" i="40"/>
  <c r="BV465" i="40"/>
  <c r="BV51" i="40"/>
  <c r="BU104" i="40"/>
  <c r="BV114" i="40"/>
  <c r="BU129" i="40"/>
  <c r="BV134" i="40"/>
  <c r="BU149" i="40"/>
  <c r="BT164" i="40"/>
  <c r="BU191" i="40"/>
  <c r="BU206" i="40"/>
  <c r="BU295" i="40"/>
  <c r="BU307" i="40"/>
  <c r="BU319" i="40"/>
  <c r="BV380" i="40"/>
  <c r="BU380" i="40"/>
  <c r="BV201" i="40"/>
  <c r="BU201" i="40"/>
  <c r="BV274" i="40"/>
  <c r="BU274" i="40"/>
  <c r="BV341" i="40"/>
  <c r="BU341" i="40"/>
  <c r="BV360" i="40"/>
  <c r="BU360" i="40"/>
  <c r="CB227" i="39"/>
  <c r="BU13" i="40"/>
  <c r="BU20" i="40"/>
  <c r="BU52" i="40"/>
  <c r="BV61" i="40"/>
  <c r="BV88" i="40"/>
  <c r="BV96" i="40"/>
  <c r="BU105" i="40"/>
  <c r="BU110" i="40"/>
  <c r="BV115" i="40"/>
  <c r="BV135" i="40"/>
  <c r="BU150" i="40"/>
  <c r="BV182" i="40"/>
  <c r="BU192" i="40"/>
  <c r="BU207" i="40"/>
  <c r="BU234" i="40"/>
  <c r="BU246" i="40"/>
  <c r="BV252" i="40"/>
  <c r="BU252" i="40"/>
  <c r="BV262" i="40"/>
  <c r="BU412" i="40"/>
  <c r="CB207" i="39"/>
  <c r="CB211" i="39"/>
  <c r="CB236" i="39"/>
  <c r="CB285" i="39"/>
  <c r="CB296" i="39"/>
  <c r="CB313" i="39"/>
  <c r="BV178" i="40"/>
  <c r="BU178" i="40"/>
  <c r="BV183" i="40"/>
  <c r="BU183" i="40"/>
  <c r="BV187" i="40"/>
  <c r="BV197" i="40"/>
  <c r="BU197" i="40"/>
  <c r="BV224" i="40"/>
  <c r="BU224" i="40"/>
  <c r="BV263" i="40"/>
  <c r="BU263" i="40"/>
  <c r="BU348" i="40"/>
  <c r="BV368" i="40"/>
  <c r="BU368" i="40"/>
  <c r="BV388" i="40"/>
  <c r="BU388" i="40"/>
  <c r="BV400" i="40"/>
  <c r="BU400" i="40"/>
  <c r="R467" i="40"/>
  <c r="BT467" i="40" s="1"/>
  <c r="BV467" i="40" s="1"/>
  <c r="BV62" i="40"/>
  <c r="BU84" i="40"/>
  <c r="BV89" i="40"/>
  <c r="BU93" i="40"/>
  <c r="BU111" i="40"/>
  <c r="BV116" i="40"/>
  <c r="BV165" i="40"/>
  <c r="BU165" i="40"/>
  <c r="BU202" i="40"/>
  <c r="BU214" i="40"/>
  <c r="BU280" i="40"/>
  <c r="BU291" i="40"/>
  <c r="BU303" i="40"/>
  <c r="BU315" i="40"/>
  <c r="BU424" i="40"/>
  <c r="BU428" i="40"/>
  <c r="BU432" i="40"/>
  <c r="BU436" i="40"/>
  <c r="BU440" i="40"/>
  <c r="BU444" i="40"/>
  <c r="BU448" i="40"/>
  <c r="BU452" i="40"/>
  <c r="BU456" i="40"/>
  <c r="BU460" i="40"/>
  <c r="BU464" i="40"/>
  <c r="BU272" i="40"/>
  <c r="BU275" i="40"/>
  <c r="BU278" i="40"/>
  <c r="BU328" i="40"/>
  <c r="BU335" i="40"/>
  <c r="BU339" i="40"/>
  <c r="BU346" i="40"/>
  <c r="BU169" i="40"/>
  <c r="BU190" i="40"/>
  <c r="BU205" i="40"/>
  <c r="BU209" i="40"/>
  <c r="BU213" i="40"/>
  <c r="BU228" i="40"/>
  <c r="BU232" i="40"/>
  <c r="BU236" i="40"/>
  <c r="BU240" i="40"/>
  <c r="BU244" i="40"/>
  <c r="BU248" i="40"/>
  <c r="BU258" i="40"/>
  <c r="BU285" i="40"/>
  <c r="BU289" i="40"/>
  <c r="BU293" i="40"/>
  <c r="BU297" i="40"/>
  <c r="BU301" i="40"/>
  <c r="BU305" i="40"/>
  <c r="BU309" i="40"/>
  <c r="BU313" i="40"/>
  <c r="BU317" i="40"/>
  <c r="BU332" i="40"/>
  <c r="BU350" i="40"/>
  <c r="BU410" i="40"/>
  <c r="BU414" i="40"/>
  <c r="BU418" i="40"/>
  <c r="BU343" i="40"/>
  <c r="BU354" i="40"/>
  <c r="BU358" i="40"/>
  <c r="BU362" i="40"/>
  <c r="BU366" i="40"/>
  <c r="BU370" i="40"/>
  <c r="BU374" i="40"/>
  <c r="BU378" i="40"/>
  <c r="BU382" i="40"/>
  <c r="BU465" i="40"/>
  <c r="BV92" i="40" l="1"/>
  <c r="CB278" i="39"/>
  <c r="CB302" i="39"/>
  <c r="CC324" i="39"/>
  <c r="CC86" i="39"/>
  <c r="CB35" i="39"/>
  <c r="CB316" i="39"/>
  <c r="CB22" i="39"/>
  <c r="CB323" i="39"/>
  <c r="CB314" i="39"/>
  <c r="CB320" i="39"/>
  <c r="CC310" i="39"/>
  <c r="CB190" i="39"/>
  <c r="CC293" i="39"/>
  <c r="CC300" i="39"/>
  <c r="CB318" i="39"/>
  <c r="CC21" i="39"/>
  <c r="CC325" i="39"/>
  <c r="CB325" i="39"/>
  <c r="CB283" i="39"/>
  <c r="CB157" i="39"/>
  <c r="CC160" i="39"/>
  <c r="BV164" i="40"/>
  <c r="BU164" i="40"/>
  <c r="BU186" i="40"/>
  <c r="BV186" i="40"/>
  <c r="CC331" i="39"/>
  <c r="CB331" i="39"/>
  <c r="BU467" i="40"/>
  <c r="BT468" i="40"/>
  <c r="BV468" i="40" s="1"/>
  <c r="CC327" i="39"/>
  <c r="CB327" i="39"/>
  <c r="CC315" i="39"/>
  <c r="CB315" i="39"/>
  <c r="BU180" i="40"/>
  <c r="BV180" i="40"/>
  <c r="BU468"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tc={BA1924AF-BB43-4DF8-95C6-90D92F10D5FB}</author>
    <author>tc={514E264B-F197-4290-A3FD-07D353423348}</author>
  </authors>
  <commentList>
    <comment ref="B64" authorId="0" shapeId="0" xr:uid="{BA1924AF-BB43-4DF8-95C6-90D92F10D5FB}">
      <text>
        <t>[Comentário encadeado]
Sua versão do Excel permite que você leia este comentário encadeado, no entanto, as edições serão removidas se o arquivo for aberto em uma versão mais recente do Excel. Saiba mais: https://go.microsoft.com/fwlink/?linkid=870924
Comentário:
    15/05/2025: Redução de R$ 7.603,00 conforme encaminhamento 2025-2CN0VP.</t>
      </text>
    </comment>
    <comment ref="B138" authorId="1" shapeId="0" xr:uid="{514E264B-F197-4290-A3FD-07D353423348}">
      <text>
        <t>[Comentário encadeado]
Sua versão do Excel permite que você leia este comentário encadeado, no entanto, as edições serão removidas se o arquivo for aberto em uma versão mais recente do Excel. Saiba mais: https://go.microsoft.com/fwlink/?linkid=870924
Comentário:
    15/05/2025: Alteração de valor realizada conforme encaminhamento 2025-MTH8WT.</t>
      </text>
    </comment>
  </commentList>
</comments>
</file>

<file path=xl/sharedStrings.xml><?xml version="1.0" encoding="utf-8"?>
<sst xmlns="http://schemas.openxmlformats.org/spreadsheetml/2006/main" count="12153" uniqueCount="2176">
  <si>
    <t>Encaminhamento</t>
  </si>
  <si>
    <t>Descrição do objeto</t>
  </si>
  <si>
    <t>Nº Contrato e do Processo</t>
  </si>
  <si>
    <t>Forma de Contratacao</t>
  </si>
  <si>
    <t>Tipo de Contratacao</t>
  </si>
  <si>
    <t>Unidade</t>
  </si>
  <si>
    <t>Quantidade</t>
  </si>
  <si>
    <t>Classificacao da Despesa</t>
  </si>
  <si>
    <t>Estimativa do Valor Total da Contratação</t>
  </si>
  <si>
    <t>Programa/Ação</t>
  </si>
  <si>
    <t>27.1097 - REALIZAÇÃO DE CONCURSO PÚBLICO E PROCESSO SELETIVO</t>
  </si>
  <si>
    <t>32.1450 - MODERNIZAÇÃO, AMPLIAÇÃO E ADEQUAÇÃO DAS UNIDADES ADMINISTRATIVAS</t>
  </si>
  <si>
    <t>32.2072 - CAMPANHAS EDUCATIVAS</t>
  </si>
  <si>
    <t>32.2083 - MUNICIPALIZAÇÃO PROGRESSIVA DO ENSINO FUNDAMENTAL</t>
  </si>
  <si>
    <t>32.2175 - MANUTENÇÃO DAS UNIDADES CENTRAL E REGIONAIS</t>
  </si>
  <si>
    <t>32.2179 - PROGRAMA ESTADUAL DE GESTÃO FINANCEIRA ESCOLAR - PROGEFE ENSINO FUNDAMENTAL</t>
  </si>
  <si>
    <t>32.2183 - FORMAÇÃO DE TÉCNICOS E GESTORES</t>
  </si>
  <si>
    <t>32.2206 - PROGRAMA ESTADUAL DE GESTÃO FINANCEIRA ESCOLAR - PROGEFE ENSINO MÉDIO</t>
  </si>
  <si>
    <t>32.4345 - TRANSPORTE ESCOLAR - ENSINO FUNDAMENTAL</t>
  </si>
  <si>
    <t>32.4346 - TRANSPORTE ESCOLAR - ENSINO MÉDIO</t>
  </si>
  <si>
    <t>32.6677 - PROMOÇÃO DE EVENTOS INSTITUCIONAIS</t>
  </si>
  <si>
    <t>32.6680 - APOIO AO CONSELHO ESTADUAL DE EDUCAÇÃO</t>
  </si>
  <si>
    <t>32.6684 - ALIMENTAÇÃO ESCOLAR</t>
  </si>
  <si>
    <t>33.1672 - MODERNIZAÇÃO, AMPLIAÇÃO E ADEQUAÇÃO DA REDE DE ESCOLAS DE ENSINO FUNDAMENTAL</t>
  </si>
  <si>
    <t>33.1673 - MODERNIZAÇÃO, AMPLIAÇÃO E  ADEQUAÇÃO DA REDE DE ESCOLAS DE ENSINO MÉDIO</t>
  </si>
  <si>
    <t>33.2014 - COOPERAÇÃO ESTADO/MUNICÍPIOS NA IMPLEMENTAÇÃO DE POLÍTICAS DE EDUCAÇÃO/ENSINO INFANTIL</t>
  </si>
  <si>
    <t>33.2311 - FOMENTO AO ACESSO DOS ESTUDANTES AO ENSINO SUPERIOR</t>
  </si>
  <si>
    <t>33.2703 - MODERNIZAÇÃO E REAPARELHAMENTO DAS ESCOLAS DE ENSINO FUNDAMENTAL</t>
  </si>
  <si>
    <t>33.2704 - MODERNIZAÇÃO E REAPARELHAMENTO DAS ESCOLAS DE ENSINO MÉDIO</t>
  </si>
  <si>
    <t>33.4089 - COOPERAÇÃO ESTADO/MUNICÍPIOS NA IMPLEMENTAÇÃO DE POLÍTICAS DE EDUCAÇÃO/ENSINO FUNDAMENTAL</t>
  </si>
  <si>
    <t>33.6086 - FORMAÇÃO DE PROFESSORES DO ENSINO FUNDAMENTAL</t>
  </si>
  <si>
    <t>33.6087 -  FORMAÇÃO DE PROFESSORES DO ENSINO MÉDIO</t>
  </si>
  <si>
    <t>33.8089 - DESENVOLVIMENTO CURRICULAR</t>
  </si>
  <si>
    <t>33.8651 - MODERNIZAÇÃO E GESTÃO DA TECNOLOGIA DA INFORMAÇÃO NA EDUCAÇÃO</t>
  </si>
  <si>
    <t>33.8657 - EXPANSÃO, QUALIFICAÇÃO E DESENVOLVIMENTO DA OFERTA DE CURSOS TÉCNICOS DE NÍVEL MÉDIO</t>
  </si>
  <si>
    <t>33.8659 - FORMAÇÃO DE PROFISSIONAIS DA EDUCAÇÃO TÉCNICA DE NÍVEL MÉDIO</t>
  </si>
  <si>
    <t>33.8662 - FORMAÇÃO DE PROFESSORES DA EDUCAÇÃO ESPECIAL</t>
  </si>
  <si>
    <t>33.8663 - FORMAÇÃO DE PROFESSORES DA EDUCAÇÃO DE JOVENS E ADULTOS</t>
  </si>
  <si>
    <t>33.8665 - ALFABETIZAÇÃO E EDUCAÇÃO DE JOVENS E ADULTOS</t>
  </si>
  <si>
    <t>33.8668 - PROMOÇÃO DA EDUCAÇÃO ESPECIAL</t>
  </si>
  <si>
    <t>33.8678 - FORTALECIMENTO DA APRENDIZAGEM DOS ESTUDANTES DO ENSINO MÉDIO NAS ÁREAS DE CONHECIMENTO</t>
  </si>
  <si>
    <t>33.8679 - MELHORIA DO DESEMPENHO ESCOLAR NO ENSINO FUNDAMENTAL</t>
  </si>
  <si>
    <t>33.8683 - DESENVOLVIMENTO INTEGRADO DE ESPORTE E CULTURA NAS ESCOLAS</t>
  </si>
  <si>
    <t>33.2347 - LEVANTAMENTO DAS INFORMAÇÕES DO CENSO ESCOLAR, AVALIAÇÃO DOS ESTUDANTES E ELABORAÇÃO DE INDICADORES EDUCACIONAIS</t>
  </si>
  <si>
    <t>33.2348 - VALORIZAÇÃO E FORTALECIMENTO DOS PROFISSIONAIS DA EDUCAÇÃO</t>
  </si>
  <si>
    <t>33.2349 - AMPLIAÇÃO E DESENVOLVIMENTO DA EDUCAÇÃO DO CAMPO, INDÍGENA, QUILOMBOLA E DA EDUCAÇÃO PARA AS RELAÇÕES ÉTNICO-RACIAIS</t>
  </si>
  <si>
    <t>32.2353 - DESENVOLVIMENTO DA GESTÃO E PROMOÇÃO DE ESTUDOS, PESQUISAS E INOVAÇÃO NA EDUCAÇÃO</t>
  </si>
  <si>
    <t>32.2358 - PROMOCAÇÃO E REALIZAÇÃO DE INICIATIVAS DE QUALIDADE DE VIDA PARA OS SERVIDORES</t>
  </si>
  <si>
    <t>32.2354 - MANUTENÇÃO E MODERNIZAÇÃO DOS SERVIÇOS NAS ESCOLAS DE ENSINO FUNDAMENTAL</t>
  </si>
  <si>
    <t>32.2356 - MANUTENÇÃO E MODERNIZAÇÃO DOS SERVIÇOS NAS ESCOLAS DE ENSINO MÉDIO</t>
  </si>
  <si>
    <t>32.2006 - REMUNERAÇÃO DOS PROFISSIONAIS TÉCNICOS ADMINISTRATIVOS E PEDAGÓGICOS DAS UNIDADES CENTRAL E REGIONAIS</t>
  </si>
  <si>
    <t>32.2085 - REMUNERAÇÃO DOS PROFISSIONAIS ADMINISTRATIVOS - ENSINO FUNDAMENTAL</t>
  </si>
  <si>
    <t>32.2086 - REMUNERAÇÃO DOS PROFISSIONAIS ADMINISTRATIVOS - ENSINO MÉDIO</t>
  </si>
  <si>
    <t>32.2181 -  REMUNERAÇÃO DOS PROFISSIONAIS ADMINISTRATIVOS - EDUCAÇÃO DE JOVENS E ADULTOS</t>
  </si>
  <si>
    <t>33.2087 - REMUINERAÇÃO DOS PROFISSIONAIS DO MAGISTÉRIO - ENSINO FUNDAMENTAL</t>
  </si>
  <si>
    <t>33.2088 - REMUINERAÇÃO DOS PROFISSIONAIS DO MAGISTÉRIO - ENSINO MÉDIO</t>
  </si>
  <si>
    <t>33.6669 - REMUINERAÇÃO DOS PROFISSIONAIS CUIDADORES DA EDUCAÇÃO ESPECIAL</t>
  </si>
  <si>
    <t>33.6671 - REMUNERAÇÃO DOS PROFISSIONAIS DO MAGISTÉRIO - EDUCAÇÃO ESPECIAL</t>
  </si>
  <si>
    <t>33.6688 - REMUNERAÇÃO DOS PROFISSIONAIS DA EDUCAÇÃO TÉCNICA DE NÍVEL MÉDIO</t>
  </si>
  <si>
    <t>33.8085 - REMUNERAÇÃO DOS PROFISSIONAIS DO MAGISTÉRIO - EDUCAÇÃO DE JOVENS E ADULTOS</t>
  </si>
  <si>
    <t>Data Prevista para Implantação</t>
  </si>
  <si>
    <t>Data do Encerramento do Contrato</t>
  </si>
  <si>
    <t>2024-4FCZK7</t>
  </si>
  <si>
    <t>CEE</t>
  </si>
  <si>
    <t xml:space="preserve">Credenciamento de profissionais, pessoas físicas, objetivando formar cadastros de especialistas para avaliar as condições da oferta de ensino em processos de regulação, compreendendo a infraestrutura física, o currículo de escolas de educação profissional técnica de nível médio e educação básica.  </t>
  </si>
  <si>
    <t>Contratação direta</t>
  </si>
  <si>
    <t>Nova</t>
  </si>
  <si>
    <t>Outras despesas correntes</t>
  </si>
  <si>
    <t>0032.6680 APOIO AO CONSELHO ESTADUAL DE EDUCAÇÃO</t>
  </si>
  <si>
    <t>2024-SC2CZN</t>
  </si>
  <si>
    <t>GEIEF</t>
  </si>
  <si>
    <t>Aquisição de acervo bibliográfico de títulos voltados para o ensino fundamental anos iniciais, os quais deverão subsidiar a práxis dos professores no que tange à utilização da Coleção Paes Alfabetização nas turmas de 3º ano do EF das escolas públicas estaduais e municipais do Espírito Santo.</t>
  </si>
  <si>
    <t>Licitação</t>
  </si>
  <si>
    <t>2024-KX3ZNK</t>
  </si>
  <si>
    <t>GEEPEI</t>
  </si>
  <si>
    <t>Contratação de serviço para oferta de Atendimento Educacional Especializado-AEE, aos alunos regularmente matriculados na rede estadual e municipais de ensino, nas instituições privadas, comunitárias, filantrópicas e sem fins lucrativos/CAEES.
APAE SÃO MATEUS</t>
  </si>
  <si>
    <t>076/2020                2020-XS03P</t>
  </si>
  <si>
    <t>Em andamento</t>
  </si>
  <si>
    <t>UN</t>
  </si>
  <si>
    <t xml:space="preserve">110 Vagas Mensal </t>
  </si>
  <si>
    <t>2024-7CXJWT</t>
  </si>
  <si>
    <t>Contratação de serviço para oferta de Atendimento Educacional Especializado-AEE, aos alunos regularmente matriculados na rede estadual e municipais de ensino, nas instituições privadas, filantrópicas sem fins lucrativos/CAEES.
APAE VILA VALÉRIO</t>
  </si>
  <si>
    <t>082/2020                   2020-6B9VH</t>
  </si>
  <si>
    <t>70 Vagas Mensal</t>
  </si>
  <si>
    <t>2024-HJ0KMD</t>
  </si>
  <si>
    <t>Contratação de serviço para oferta de Atendimento Educacional Especializado-AEE, aos alunos regularmente matriculados na rede estadual e municipais de ensino, nas instituições privadas, filantrópicas sem fins lucrativos/CAEES.
APAE VIANA</t>
  </si>
  <si>
    <t>081/2020               2020-LBJRQ</t>
  </si>
  <si>
    <t>120 Vagas Mensal</t>
  </si>
  <si>
    <t>2024-Z871NP</t>
  </si>
  <si>
    <t>Contratação de serviço para oferta de Atendimento Educacional Especializado-AEE, aos alunos regularmente matriculados na rede estadual e municipais de ensino, nas instituições privadas, filantrópicas sem fins lucrativos/CAEES.
PESTALOZZI VARGEM ALTA</t>
  </si>
  <si>
    <t>080/2020                         2020-5M4VZ</t>
  </si>
  <si>
    <t>2024-4WG3T8</t>
  </si>
  <si>
    <t>Contratação de serviço para oferta de Atendimento Educacional Especializado-AEE, aos alunos regularmente matriculados na rede estadual e municipais de ensino, nas instituições privadas, filantrópicas sem fins lucrativos/CAEES.
PESTALOZZI SANTA TERESA</t>
  </si>
  <si>
    <t>074/2020                                 2020-QVWH5</t>
  </si>
  <si>
    <t>80 Vagas Mensal</t>
  </si>
  <si>
    <t>2024-PVTHV8</t>
  </si>
  <si>
    <t>Edital de credenciamento de instituições filantrópicas, sem fins lucrativos, para atendimento educacional especializado, no contraturno escolarização, aos estudantes da rede estadual e municipais que apresentam DI e TEA, nos Municípios do Estado do Espírito Santo, conforme Lei Federal n° 14.133/21.</t>
  </si>
  <si>
    <t>2024-FRJRZH</t>
  </si>
  <si>
    <t>Contratação de serviço para oferta de Atendimento Educacional Especializado-AEE, aos alunos regularmente matriculados na rede estadual e municipais de ensino, nas instituições privadas, filantrópicas sem fins lucrativos/CAEES.
PESTALOZZI DE GUARAPARI</t>
  </si>
  <si>
    <t>049/2020                            2020-W07MM</t>
  </si>
  <si>
    <t>520 Vagas Mensal</t>
  </si>
  <si>
    <t>2024-MGVTRH</t>
  </si>
  <si>
    <t>Contratação de serviço para oferta de Atendimento Educacional Especializado-AEE, aos alunos regularmente matriculados na rede estadual e municipais de ensino, nas instituições privadas, filantrópicas sem fins lucrativos/CAEES.
APAE CARIACICA</t>
  </si>
  <si>
    <t>041/2020                     2020-JWN88</t>
  </si>
  <si>
    <t>2024-MWQ4VC</t>
  </si>
  <si>
    <t>Contratação de serviço para oferta de Atendimento Educacional Especializado-AEE, aos alunos regularmente matriculados na rede estadual e municipais de ensino, nas instituições privadas, filantrópicas, sem fins lucrativos/CAEEs. PESTALOZZI PONTO BELO</t>
  </si>
  <si>
    <t xml:space="preserve">  069/2020                   2020-CKTNQ</t>
  </si>
  <si>
    <t>40 vagas mensalmente</t>
  </si>
  <si>
    <t>2024-0K4109</t>
  </si>
  <si>
    <t>Contratação de serviço para oferta de Atendimento Educacional Especializado-AEE, aos alunos regularmente matriculados na rede estadual e municipais de ensino, nas instituições privadas, filantrópicas, sem fins lucrativos/CAEEs.          APAE SANTA MARIA DE JETIBÁ</t>
  </si>
  <si>
    <t>073/2020                            2020-6BRH3</t>
  </si>
  <si>
    <t>80 vagas mensalmente</t>
  </si>
  <si>
    <t>2024-LXRB9P</t>
  </si>
  <si>
    <t>Contratação de serviço para oferta de Atendimento Educacional Especializado-AEE, aos alunos regularmente matriculados na rede estadual e municipais de ensino, nas instituições privadas, filantrópicas, sem fins lucrativos/CAEEs.         APAE SANTA LEOPOLDINA</t>
  </si>
  <si>
    <t>072/2020                               2020-M7DZ2</t>
  </si>
  <si>
    <t>120 vagas mensalmente</t>
  </si>
  <si>
    <t>2024-VQJRMD</t>
  </si>
  <si>
    <t>Contratação de serviço para oferta de Atendimento Educacional Especializado-AEE, aos alunos regularmente matriculados na rede estadual e municipais de ensino, nas instituições privadas, filantrópicas, sem fins lucrativos/CAEEs.          APAE PINHEIROS</t>
  </si>
  <si>
    <t>067/2020                                 2020-6KP9G</t>
  </si>
  <si>
    <t>20 vagas mensalmente</t>
  </si>
  <si>
    <t>2024-BZ0G99</t>
  </si>
  <si>
    <t>Contratação de serviço para oferta de Atendimento Educacional Especializado-AEE, aos alunos regularmente matriculados na rede estadual e municipais de ensino, nas instituições privadas, filantrópicas, sem fins lucrativos/CAEEs. PESTALOZI JERÔNIMO MONTEIRO</t>
  </si>
  <si>
    <t>056/2020                           2020-WBLB8</t>
  </si>
  <si>
    <t>25 vagas mensalmente</t>
  </si>
  <si>
    <t>2024-0ZP1GV</t>
  </si>
  <si>
    <t>Contratação de serviço para oferta de Atendimento Educacional Especializado-AEE, aos alunos regularmente matriculados na rede estadual e municipais de ensino, nas instituições privadas, filantrópicas, sem fins lucrativos/CAEEs.         APAE COLATINA</t>
  </si>
  <si>
    <t>042/2020                         2020-4G8G0</t>
  </si>
  <si>
    <t>900 vagas mensalmente</t>
  </si>
  <si>
    <t>2024-MMF7Z3</t>
  </si>
  <si>
    <t>Contratação de serviço para oferta de Atendimento Educacional Especializado-AEE, aos alunos regularmente matriculados na rede estadual e municipais de ensino, nas instituições privadas, filantrópicas, sem fins lucrativos/CAEEs.             APAE BAIXO GUANDU</t>
  </si>
  <si>
    <t>037/2020                           2020-MR0R7</t>
  </si>
  <si>
    <t>140 vagas mensalmente</t>
  </si>
  <si>
    <t>2024-935BQ9</t>
  </si>
  <si>
    <t>Contratação de serviço para oferta de Atendimento Educacional Especializado-AEE, aos alunos regularmente matriculados na rede estadual e municipais de ensino, nas instituições privadas, comunitárias, filantrópicas e  sem fins lucrativos/CAEES.                     APAE VILA VELHA</t>
  </si>
  <si>
    <t>083/2020                       2020P5QLH</t>
  </si>
  <si>
    <t>280 Vagas mensal</t>
  </si>
  <si>
    <t>2024-G592MZ</t>
  </si>
  <si>
    <t>Contratação de serviço para oferta de Atendimento Educacional Especializado-AEE, aos alunos regularmente matriculados na rede estadual e municipais de ensino, nas instituições privadas, comunitárias, filantrópicas e  sem fins lucrativos/CAEES.                     APAE SÃO ROQUE DO CANAÃ</t>
  </si>
  <si>
    <t>077/2020                       2020-P6LBX</t>
  </si>
  <si>
    <t>70 Vagas mensal</t>
  </si>
  <si>
    <t>2024-XPMFBS</t>
  </si>
  <si>
    <t>Contratação de serviço para oferta de Atendimento Educacional Especializado-AEE, aos alunos regularmente matriculados na rede estadual e municipais de ensino, nas instituições privadas, comunitárias, filantrópicas e  sem fins lucrativos/CAEES.                      APAE SÃO GABRIEL DA PALHA</t>
  </si>
  <si>
    <t>075/2020                           2020-2V764</t>
  </si>
  <si>
    <t>40 Vagas mensal</t>
  </si>
  <si>
    <t>2024-R38JH0</t>
  </si>
  <si>
    <t>Contratação de serviço para oferta de Atendimento Educacional Especializado-AEE, aos alunos regularmente matriculados na rede estadual e municipais de ensino, nas instituições privadas, comunitárias, filantrópicas e  sem fins lucrativos/CAEES.                           AMAES</t>
  </si>
  <si>
    <t>085/2020                              2020-CQQD2</t>
  </si>
  <si>
    <t>160 Vagas mensal</t>
  </si>
  <si>
    <t>2024-PNC996</t>
  </si>
  <si>
    <t>Contratação de serviço para oferta de Atendimento Educacional Especializado-AEE, aos alunos regularmente matriculados na rede estadual e municipais de ensino, nas instituições privadas, filantrópicas, sem fins lucrativos/CAEEs. PESTALOZZI ATILIO VIVACQUA</t>
  </si>
  <si>
    <t>036/2020                               2020-DC87R</t>
  </si>
  <si>
    <t>70 vagas mensalmente</t>
  </si>
  <si>
    <t>2024-65XFSX</t>
  </si>
  <si>
    <t>Contratação de serviço para oferta de Atendimento Educacional Especializado-AEE, aos alunos regularmente matriculados na rede estadual e municipais de ensino, nas instituições privadas, filantrópicas, sem fins lucrativos/CAEEs.                APAE ARACRUZ</t>
  </si>
  <si>
    <t>035/2020                                  2020-PZGWR</t>
  </si>
  <si>
    <t>2024-C4DMH5</t>
  </si>
  <si>
    <t>Contratação de serviço para oferta de Atendimento Educacional Especializado-AEE, aos alunos regularmente matriculados na rede estadual e municipais de ensino, nas instituições privadas, filantrópicas, sem fins lucrativos/CAEEs.                APAE ALEGRE</t>
  </si>
  <si>
    <t>033/2020                               2020-F7S37</t>
  </si>
  <si>
    <t>161 vagas mensalmente</t>
  </si>
  <si>
    <t>2024-8HSGWW</t>
  </si>
  <si>
    <t>Contratação de serviço para oferta de Atendimento Educacional Especializado-AEE, aos alunos regularmente matriculados na rede estadual e municipais de ensino, nas instituições privadas, filantrópicas, sem fins lucrativos/CAEEs.    PESTAL. ÁGUA DOCE DO NORTE</t>
  </si>
  <si>
    <t>031/2020                     2020-T320Q</t>
  </si>
  <si>
    <t>2024-9SR047</t>
  </si>
  <si>
    <t>Contratação de serviço para oferta de Atendimento Educacional Especializado-AEE, aos alunos regularmente matriculados na rede estadual e municipais de ensino, nas instituições privadas, filantrópicas, sem fins lucrativos/CAEEs.          APAE SERRA</t>
  </si>
  <si>
    <t>078/2020                    2020-SWWFZ</t>
  </si>
  <si>
    <t>400 vagas mensalmente</t>
  </si>
  <si>
    <t>2024-L1CQXW</t>
  </si>
  <si>
    <t>Contratação de serviço para oferta de Atendimento Educacional Especializado-AEE, aos alunos regularmente matriculados na rede estadual e municipais de ensino, nas instituições privadas, filantrópicas, sem fins lucrativos/CAEEs.     PESTAL. RIO NOVO DO SUL</t>
  </si>
  <si>
    <t>071/2020                     2020-34455</t>
  </si>
  <si>
    <t>2024-W0N1Z3</t>
  </si>
  <si>
    <t>Contratação de serviço para oferta de Atendimento Educacional Especializado-AEE, aos alunos regularmente matriculados na rede estadual e municipais de ensino, nas instituições privadas, comunitárias, filantrópicas e  sem fins lucrativos/CAEES.                          APAE CACHOEIRO DE ITAPEMIRIM</t>
  </si>
  <si>
    <t>040/2020                                   2020-8SVQT</t>
  </si>
  <si>
    <t>130 Vagas Mensal</t>
  </si>
  <si>
    <t>2024-4K5MJD</t>
  </si>
  <si>
    <t>Contratação de serviço para oferta de Atendimento Educacional Especializado-AEE, aos alunos regularmente matriculados na rede estadual e municipais de ensino, nas instituições privadas, comunitárias, filantrópicas e  sem fins lucrativos/CAEES.                      APAE BARRA DE SÃO FRANCISCO</t>
  </si>
  <si>
    <t>038/2020                                                  2020-87HJG</t>
  </si>
  <si>
    <t>120 Vagas mensal</t>
  </si>
  <si>
    <t>2024-K45XZ7</t>
  </si>
  <si>
    <t>Contratação de serviço para oferta de Atendimento Educacional Especializado-AEE, aos alunos regularmente matriculados na rede estadual e municipais de ensino, nas instituições privadas, filantrópicas, sem fins lucrativos/CAEEs.           APAE RIO BANANAL</t>
  </si>
  <si>
    <t>070/2020                          2020-T393G</t>
  </si>
  <si>
    <t>50 vagas mensalmente</t>
  </si>
  <si>
    <t>2024-BLF0N5</t>
  </si>
  <si>
    <t>Contratação de serviço para oferta de Atendimento Educacional Especializado-AEE, aos alunos regularmente matriculados na rede estadual e municipais de ensino, nas instituições privadas, comunitárias, filantrópicas e  sem fins lucrativos/CAEES.                      APAE GUARAPARI</t>
  </si>
  <si>
    <t>048/2020                         2020-V7SG3</t>
  </si>
  <si>
    <t>2024-L42RN3</t>
  </si>
  <si>
    <t>Contratação de serviço para oferta de Atendimento Educacional Especializado-AEE, aos alunos regularmente matriculados na rede estadual e municipais de ensino, nas instituições privadas, comunitárias, filantrópicas e  sem fins lucrativos/CAEES.                      APAE VITÓRIA</t>
  </si>
  <si>
    <t>084/2020                  2020-Q0MJB</t>
  </si>
  <si>
    <t>2024-CFDGVM</t>
  </si>
  <si>
    <t>Contratação de serviço para oferta de Atendimento Educacional Especializado-AEE, aos alunos regularmente matriculados na rede estadual e municipais de ensino, nas instituições privadas, comunitárias, filantrópicas e  sem fins lucrativos/CAEES.                PESTALOZZI ECOPORANGA</t>
  </si>
  <si>
    <t>005/2021                            2021-B19W8</t>
  </si>
  <si>
    <t>75 vagas mensais</t>
  </si>
  <si>
    <t>2024-83F6P2</t>
  </si>
  <si>
    <t>Contratação de serviço para oferta de Atendimento Educacional Especializado-AEE, aos alunos regularmente matriculados na rede estadual e municipais de ensino, nas instituições privadas, filantrópicas, sem fins lucrativos/CAEEs.            APAE PIÚMA</t>
  </si>
  <si>
    <t>068/2020                             2020-32R26</t>
  </si>
  <si>
    <t>2024-TCMLHK</t>
  </si>
  <si>
    <t>Contratação de serviço para oferta de Atendimento Educacional Especializado-AEE, aos alunos regularmente matriculados na rede estadual e municipais de ensino, nas instituições privadas, comunitárias, filantrópicas e  sem fins lucrativos/CAEES.                     PESTAL. CONCEIÇÃO DA BARRA</t>
  </si>
  <si>
    <t>043/2020                            2020-Z52L7</t>
  </si>
  <si>
    <t xml:space="preserve">86 vagas mensal </t>
  </si>
  <si>
    <t>2024-P9NVNG</t>
  </si>
  <si>
    <t>Contratação de serviço para oferta de Atendimento Educacional Especializado-AEE, aos alunos regularmente matriculados na rede estadual e municipais de ensino, nas instituições privadas, filantrópicas, sem fins lucrativos/CAEEs.                     APAE NOVA VENÉCIA</t>
  </si>
  <si>
    <t>066/2020                      2020-2V0HF</t>
  </si>
  <si>
    <t>52 vagas mensalmente</t>
  </si>
  <si>
    <t>2024-NWK9QF</t>
  </si>
  <si>
    <t>Contratação de serviço para oferta de Atendimento Educacional Especializado-AEE, aos alunos regularmente matriculados na rede estadual e municipais de ensino, nas instituições privadas, filantrópicas, sem fins lucrativos/CAEEs.                       APAE MUQUI</t>
  </si>
  <si>
    <t>065/2020                      2020-X1C5N</t>
  </si>
  <si>
    <t>2024-NLW048</t>
  </si>
  <si>
    <t>Contratação de serviço para oferta de Atendimento Educacional Especializado-AEE, aos alunos regularmente matriculados na rede estadual e municipais de ensino, nas instituições privadas, comunitárias, filantrópicas e  sem fins lucrativos/CAEES.                   PESTAL JOÃO NEIVA</t>
  </si>
  <si>
    <t>057/2020                         2020-6HT08</t>
  </si>
  <si>
    <t xml:space="preserve">120 vagas mensal </t>
  </si>
  <si>
    <t>2024-MQFS9H</t>
  </si>
  <si>
    <t>Contratação de serviço para oferta de Atendimento Educacional Especializado-AEE, aos alunos regularmente matriculados na rede estadual e municipais de ensino, nas instituições privadas, filantrópicas, sem fins lucrativos/CAEEs.          APAE MUNIZ FREIRE</t>
  </si>
  <si>
    <t>064/2020                                              2020-B8FPT</t>
  </si>
  <si>
    <t>75 vagas mensalmente</t>
  </si>
  <si>
    <t>2024-N7X345</t>
  </si>
  <si>
    <t>Contratação de serviço para oferta de Atendimento Educacional Especializado-AEE, aos alunos regularmente matriculados na rede estadual e municipais de ensino, nas instituições privadas, comunitárias, filantrópicas e  sem fins lucrativos/CAEES.                            PESTAL. JAGUARÉ</t>
  </si>
  <si>
    <t>055/2020                            2020-9T9XP</t>
  </si>
  <si>
    <t xml:space="preserve">30 vagas mensal </t>
  </si>
  <si>
    <t>2024-21MH2X</t>
  </si>
  <si>
    <t>Contratação de serviço para oferta de Atendimento Educacional Especializado-AEE, aos alunos regularmente matriculados na rede estadual e municipais de ensino, nas instituições privadas, comunitárias, filantrópicas e  sem fins lucrativos/CAEES.                     APAE IÚNA</t>
  </si>
  <si>
    <t>054/2020                        2020-MJF12</t>
  </si>
  <si>
    <t xml:space="preserve">150 vagas mensal </t>
  </si>
  <si>
    <t>2024-LTBJ45</t>
  </si>
  <si>
    <t>Contratação de serviço para oferta de Atendimento Educacional Especializado-AEE, aos alunos regularmente matriculados na rede estadual e municipais de ensino, nas instituições privadas, comunitárias, filantrópicas e  sem fins lucrativos/CAEES.                     APAE IRUPI</t>
  </si>
  <si>
    <t>053/2020                       2020-JDCS3</t>
  </si>
  <si>
    <t xml:space="preserve">40 vagas mensal </t>
  </si>
  <si>
    <t>2024-QQ1CN4</t>
  </si>
  <si>
    <t>Contratação de serviço para oferta de Atendimento Educacional Especializado-AEE, aos alunos regularmente matriculados na rede estadual e municipais de ensino, nas instituições privadas, filantrópicas, sem fins lucrativos/CAEEs.         APAE MONTANHA</t>
  </si>
  <si>
    <t>063/2020                    2020-LJXRP</t>
  </si>
  <si>
    <t>2024-PV5LGV</t>
  </si>
  <si>
    <t>Contratação de serviço para oferta de Atendimento Educacional Especializado-AEE, aos alunos regularmente matriculados na rede estadual e municipais de ensino, nas instituições privadas, comunitárias, filantrópicas e  sem fins lucrativos/CAEES.                              APAE IBITIRAMA</t>
  </si>
  <si>
    <t>052/2020                       2020-QJDGB</t>
  </si>
  <si>
    <t xml:space="preserve">80 vagas mensal </t>
  </si>
  <si>
    <t>2024-XTW35J</t>
  </si>
  <si>
    <t>Contratação de serviço para oferta de Atendimento Educacional Especializado-AEE, aos alunos regularmente matriculados na rede estadual e municipais de ensino, nas instituições privadas, comunitárias, filantrópicas e  sem fins lucrativos/CAEES.                        PESTAL. IBIRAÇU</t>
  </si>
  <si>
    <t>051/2020                        2020-KT4T2</t>
  </si>
  <si>
    <t xml:space="preserve">33 vagas mensal </t>
  </si>
  <si>
    <t>2024-QNH7R3</t>
  </si>
  <si>
    <t>Contratação de serviço para oferta de Atendimento Educacional Especializado-AEE, aos alunos regularmente matriculados na rede estadual e municipais de ensino, nas instituições privadas, filantrópicas, sem fins lucrativos/CAEEs.             PESTAL. MIMOSO DO SUL</t>
  </si>
  <si>
    <t>062/2020                                    2020-B1KXK</t>
  </si>
  <si>
    <t>110 vagas mensalmente</t>
  </si>
  <si>
    <t>2024-0NP11F</t>
  </si>
  <si>
    <t>Contratação de serviço para oferta de Atendimento Educacional Especializado-AEE, aos alunos regularmente matriculados na rede estadual e municipais de ensino, nas instituições privadas, comunitárias, filantrópicas e  sem fins lucrativos/CAEES.                       APAE IBATIBA</t>
  </si>
  <si>
    <t>050/2020                         2020-WVZ6Z</t>
  </si>
  <si>
    <t>2024-1M4RQZ</t>
  </si>
  <si>
    <t>Contratação de serviço para oferta de Atendimento Educacional Especializado-AEE, aos alunos regularmente matriculados na rede estadual e municipais de ensino, nas instituições privadas, filantrópicas, sem fins lucrativos/CAEEs.         APAE MARILÂNDIA</t>
  </si>
  <si>
    <t>061/2020                  2020-47V9M</t>
  </si>
  <si>
    <t>2024-HPJNQQ</t>
  </si>
  <si>
    <t>Contratação de serviço para oferta de Atendimento Educacional Especializado-AEE, aos alunos regularmente matriculados na rede estadual e municipais de ensino, nas instituições privadas, comunitárias, filantrópicas e  sem fins lucrativos/CAEES.                      APAE GUAÇUÍ</t>
  </si>
  <si>
    <t>047/2020                        2020-FVN39</t>
  </si>
  <si>
    <t xml:space="preserve">180 vagas mensal </t>
  </si>
  <si>
    <t>2024-P7W77F</t>
  </si>
  <si>
    <t>Contratação de serviço para oferta de Atendimento Educacional Especializado-AEE, aos alunos regularmente matriculados na rede estadual e municipais de ensino, nas instituições privadas, filantrópicas, sem fins lucrativos/CAEEs.          APAE MARATAÍZES</t>
  </si>
  <si>
    <t>059/2020                          2020-C7XJT</t>
  </si>
  <si>
    <t>2024-PH5CDF</t>
  </si>
  <si>
    <t>Contratação de serviço para oferta de Atendimento Educacional Especializado-AEE, aos alunos regularmente matriculados na rede estadual e municipais de ensino, nas instituições privadas, comunitárias, filantrópicas e  sem fins lucrativos/CAEES.                      APAE GOVERNADOR LINDENBERG</t>
  </si>
  <si>
    <t>046/2020                2020-7MBQ5</t>
  </si>
  <si>
    <t xml:space="preserve">20 vagas mensal </t>
  </si>
  <si>
    <t>2024-ZZ8JMR</t>
  </si>
  <si>
    <t>Contratação de serviço para oferta de Atendimento Educacional Especializado-AEE, aos alunos regularmente matriculados na rede estadual e municipais de ensino, nas instituições privadas, filantrópicas, sem fins lucrativos/CAEEs.                PESTAL. LINHARES</t>
  </si>
  <si>
    <t>058/2020                 2020-33QFR</t>
  </si>
  <si>
    <t>300 vagas mensalmente</t>
  </si>
  <si>
    <t>2024-N1GW93</t>
  </si>
  <si>
    <t>Contratação de serviço para oferta de Atendimento Educacional Especializado-AEE, aos alunos regularmente matriculados na rede estadual e municipais de ensino, nas instituições privadas, filantrópicas e sem fins lucrativos/CAEES.      PESTAL. DIVINO S. LOURENÇO</t>
  </si>
  <si>
    <t>044/2020                  2020-G3CS2</t>
  </si>
  <si>
    <t>2024-62PR15</t>
  </si>
  <si>
    <t xml:space="preserve">Contratação de serviço para oferta de Atendimento Educacional Especializado-AEE, aos alunos regularmente matriculados na rede estadual e municipais de ensino, nas instituições privadas, filantrópicas, sem fins lucrativos/CAEEs.         PESTAL. ANCHIETA </t>
  </si>
  <si>
    <t>034/2020                2020-2Z7C6</t>
  </si>
  <si>
    <t>2024-P79MBX</t>
  </si>
  <si>
    <t>Contratação de serviço para oferta de Atendimento Educacional Especializado-AEE, aos alunos regularmente matriculados na rede estadual e municipais de ensino, nas instituições privadas, comunitárias, confessionais ou filantrópicas sem fins lucrativos/CAEES.                          PESTAL. ÁGUIA BRANCA</t>
  </si>
  <si>
    <t>032/2020                      2020-ZKHG1</t>
  </si>
  <si>
    <t>196 vagas mensalmente</t>
  </si>
  <si>
    <t>2024-PMZQ8V</t>
  </si>
  <si>
    <t>Aquisição de obras literárias para estudantes do Ensino Fundamental anos finais da rede pública estadual e para todas as escolas das redes públicas municipais que ofertam essa etapa de ensino no período de 2025 a 2026, para o desenvolvimento do projeto Aventuras Literárias.</t>
  </si>
  <si>
    <t>2024-B75PGG</t>
  </si>
  <si>
    <t>GEM</t>
  </si>
  <si>
    <t>Aquisição de materiais didáticos de Inglês e de  Espanhol, em versão física e digital, com plataforma de ambiente virtual de aprendizagem –  com capacitação docente sobre a utilização didática desses materiais para uso nas aulas de Língua Estrangeira nos cursos oferecidos pelos – CEIs.</t>
  </si>
  <si>
    <t>2024-PLWXDR</t>
  </si>
  <si>
    <t>Contratação de instituição especializada em serviços de intercâmbio cultural com “curso intensivo de línguas”, para estudantes dos Centros Estaduais de Idiomas-CEIs, devidamente matriculados no Ensino Médio da Rede Pública Estadual de Ensino.</t>
  </si>
  <si>
    <t>2024-FJJQMC</t>
  </si>
  <si>
    <t>Contratação de prestação de serviços de urgência e emergência para a realização das etapas regionais e da etapa final de 2025 dos Jogos Na Rede tendo em vista a necessidade desse serviço para a garantia do bem-estar e da integridade física dos(as) estudantes que participarão dessa ação.</t>
  </si>
  <si>
    <t>2024-X687ZJ</t>
  </si>
  <si>
    <t>Realizar Feira de Cursos Técnicos e Empreendedorismo com participação de cerca de 500 Estudantes e professores do Ensino Médio Integrado (IFTP).</t>
  </si>
  <si>
    <t>33.8657 -  EXPANSÃO, QUALIFICAÇÃO E DESENVOLVIMENTO DA OFERTA DE CURSOS TÉCNICOS DE NÍVEL MÉDIO</t>
  </si>
  <si>
    <t>2024-LB7XV1</t>
  </si>
  <si>
    <t xml:space="preserve">Contratação de serviço de segurança e vigilância desarmada para a realização da edição de 2025 dos Jogos Escolares da Rede Pública Estadual, doravante conhecido como Jogos Na Rede, que envolverão aproximadamente 16.000 (dezesseis mil) estudantes. </t>
  </si>
  <si>
    <t>Diária</t>
  </si>
  <si>
    <t>2024-3WVN22</t>
  </si>
  <si>
    <t xml:space="preserve">Contratação do SEST/SENAT/ES para oferta de até 120 vagas em cursos técnicos de nível médio, na forma concomitante, distribuídas em 03 unidades do SEST/SENAT/ES , para estudantes matriculados na 1ª e 2ª séries do ensino médio em escolas públicas estaduais do Espírito Santo
</t>
  </si>
  <si>
    <t>Contrato nº 2024.000039.42101.01 Processo 2023-H6DJ9</t>
  </si>
  <si>
    <t>2024-2RLB76</t>
  </si>
  <si>
    <t>Contratação de serviços de arbitragem escolar para as modalidades de basquetebol, futsal, handebol, voleibol, atletismo, tênis de mesa e xadrez, para a realização dos Jogos Na Rede – 2025, envolvendo um total de aproximadamente 16.000 (quinze mil) estudantes.</t>
  </si>
  <si>
    <t>2024-1XZ2L0</t>
  </si>
  <si>
    <t>Contratação do SENAI/ES para oferta de até 1.000 vagas em cursos técnicos de nível médio, na forma concomitante, distribuídas em 07 unidades do SENAI/ES, para estudantes matriculados na 1ª e 2ª séries do ensino médio em escolas públicas estaduais do Espírito Santo.</t>
  </si>
  <si>
    <t>Contrato nº 2024.000016.42101.01, Processo 2023-MFQC6</t>
  </si>
  <si>
    <t>Prorrogada</t>
  </si>
  <si>
    <t>2024-8WVNPB</t>
  </si>
  <si>
    <t>Aquisição de livros didáticos para professores e estudantes matriculados nos 32 cursos técnicos ofertados por meio do Itinerário de Formação Técnica e Profissional em 137 escolas públicas estaduais, localizadas em 66 municípios.</t>
  </si>
  <si>
    <t>2024-HSTHQ4</t>
  </si>
  <si>
    <t>Plataforma de correção de textos por Inteligência Artificial, incluindo painel de monitoramento, fornecimento de material de apoio pedagógico e capacitação de gestores e professores, visando atender às demandas da Secretaria de Estado da Educação do Espírito Santo.</t>
  </si>
  <si>
    <t>Contrato nº 065/2021 
 Processo nº 2021-PX7SS 
Processo SIGEFES 2021017773044</t>
  </si>
  <si>
    <t>2024-7TFR9G</t>
  </si>
  <si>
    <t>Contratação de instituição financeira autorizada pelo Banco Central do Brasil, para operacionalização da bolsa estudante do Projeto Estadual de Inovação da Educação Técnica de Nível Médio – Inovatec</t>
  </si>
  <si>
    <t>2024-6CKVQ1</t>
  </si>
  <si>
    <t>Contratação de instituição financeira autorizada pelo Banco Central do Brasil, para operacionalização da bolsa estudante do Projeto Estadual de Inovação da Educação Técnica de Nível Médio – Inovatec.</t>
  </si>
  <si>
    <t>Contrato nº 2024.000142.42101.01; 
 Processo 2024-65GBW</t>
  </si>
  <si>
    <t>Beneficiário</t>
  </si>
  <si>
    <t>2024-983B90</t>
  </si>
  <si>
    <t xml:space="preserve">Contratação de empresa especializada em serviço de agenciamento de Intercâmbio Cultural com Curso Intensivo de Línguas para 
Estudantes dos Centros Estaduais de Idiomas - CEIs, matriculados no ano letivo de 2024. Beneficiando 170 intercambistas. </t>
  </si>
  <si>
    <t>Contrato nº 2024.000178.42101.01; Processo 2024-S6DRW</t>
  </si>
  <si>
    <t>2024-B1HCVQ</t>
  </si>
  <si>
    <t xml:space="preserve">Contratação do SENAC para oferta de até 925 vagas em cursos técnicos de nível médio, na forma concomitante, distribuídas em 08 unidades do SENAC, para estudantes matriculados na 1ª e 2ª séries do ensino médio em escolas públicas estaduais do Espírito Santo
</t>
  </si>
  <si>
    <t>Contrato nº 2024.000041.42101.01 e Processo 2023-ZMKRL</t>
  </si>
  <si>
    <t>2024-XSZ277</t>
  </si>
  <si>
    <t>Aquisição de material didático escolar para atender às necessidades dos estudantes matriculados em cursos técnicos no escopo do PRONATEC, nos anos letivos de 2024 e 2025, conforme lotes elencados no quadro 01, com recursos PRONATEC (MEDIOTEC), por meio de Pregão Eletrônico com Registro de Preços.</t>
  </si>
  <si>
    <t>2024-X6MNC7</t>
  </si>
  <si>
    <t xml:space="preserve">Contratação do SEST/SENAT/ES para oferta de até 120 vagas em cursos técnicos de nível médio, na forma concomitante, distribuídas em 03 unidades do SEST/SENAT/ES , para estudantes matriculados na 1ª e 2ª séries do ensino médio em escolas públicas estaduais do Espírito Santo.
</t>
  </si>
  <si>
    <t>2024-1G09HN</t>
  </si>
  <si>
    <t>2024-9C6F6N</t>
  </si>
  <si>
    <t xml:space="preserve">Contratação de empresa para a disponibilização de solução tecnológica com plataforma de correção de textos por Inteligência Artificial, incluindo painel de monitoramento, fornecimento de material de apoio pedagógico e capacitação de gestores e professores, visando atender às demandas da Sedu. </t>
  </si>
  <si>
    <t>unidade</t>
  </si>
  <si>
    <t>2024-6FBSJ8</t>
  </si>
  <si>
    <t>2024-5BVNM1</t>
  </si>
  <si>
    <t>Contratação do SENAI/ES para oferta de até 100 vagas em curso técnico de nível médio, na forma concomitante, distribuídas em 04 unidades do SENAI/ES, para estudantes matriculados na 1ª e 2ª séries do ensino médio em escolas públicas estaduais do Espírito Santo.</t>
  </si>
  <si>
    <t>CONTRATO Nº 119/2022 e Processo 2021-MPQX0</t>
  </si>
  <si>
    <t>vaga</t>
  </si>
  <si>
    <t>2024-X79976</t>
  </si>
  <si>
    <t>Aquisição de material didático para os estudantes matriculados no curso preparatório Pré-Enem 2025.</t>
  </si>
  <si>
    <t xml:space="preserve">Coleção </t>
  </si>
  <si>
    <t>2024-M6B6X9</t>
  </si>
  <si>
    <t>Aquisições de material esportivo e de troféus e medalhas para a realização da edição de 2024 dos Jogos Escolares da Rede Pública Estadual, doravante conhecido como Jogos Na Rede, que envolverá aproximadamente 16.000 (dezesseis mil) estudantes.</t>
  </si>
  <si>
    <t>2024-RDCGT7</t>
  </si>
  <si>
    <t>GECEB</t>
  </si>
  <si>
    <t xml:space="preserve">O objeto do presente instrumento é a contratação de plataforma de leitura com licença de uso de biblioteca digital de empréstimo de e-Books, sob licença de software, e acesso por assinaturas de estudantes, a serem pagas pela sua efetividade, com um teto de 148.549 estudantes.
</t>
  </si>
  <si>
    <t>Contrato SEDU 062/2021
Processo 2021-GGN52</t>
  </si>
  <si>
    <t>Participação ou adesão em ata de registro de preços</t>
  </si>
  <si>
    <t>Assinaturas</t>
  </si>
  <si>
    <t>2024-90K9RP</t>
  </si>
  <si>
    <t>GEEJA</t>
  </si>
  <si>
    <t xml:space="preserve">Contratação de serviço para a reprodução gráfica das Diretrizes Curriculares da Educação de Jovens e Adultos; Política da Socioeducação; Cadernos do PIPAT; Cadernos de Práticas e Vivências 1; Cadernos de Práticas e Vivências 2; Caderno de Apoio a EJA Profissional. </t>
  </si>
  <si>
    <t>2024-WHWC43</t>
  </si>
  <si>
    <t>Contratação de serviços de hospedagem, alimentação e espaços físicos (auditório, salas de apoio, quadras cobertas e ginásio) necessários para a realização da etapa final dos Jogos Na Rede 2024.</t>
  </si>
  <si>
    <t>2024-XBR7T2</t>
  </si>
  <si>
    <t>GAE</t>
  </si>
  <si>
    <t xml:space="preserve">Contratação de empresa ou cooperativa para executar serviços de transporte escolar aos alunos da rede estadual de ensino matriculados nas escolas estaduais do município de Barra de São Francisco.
</t>
  </si>
  <si>
    <t>32.4345 - TRANSPORTE ESCOLAR - ENSINO FUNDAMENTAL, 32.4346 - TRANSPORTE ESCOLAR - ENSINO MÉDIO</t>
  </si>
  <si>
    <t>2024-4QSZ5J</t>
  </si>
  <si>
    <t>Contratação de empresa ou cooperativa para executar serviços de transporte escolar aos alunos da rede estadual de ensino matriculados nas escolas estaduais do município de Castelo.</t>
  </si>
  <si>
    <t>2024-4NZZ89</t>
  </si>
  <si>
    <t>2024-0253LT</t>
  </si>
  <si>
    <t>2024-R8Q4V0</t>
  </si>
  <si>
    <t>GETI</t>
  </si>
  <si>
    <t xml:space="preserve">Contratação de empresa especializada para a organização do  "Encontro de Jovens Protagonistas: o acolhimento como cultura escolar", destinado a participação de 80 estudantes e técnicos das regionais. </t>
  </si>
  <si>
    <t>2024-44P4N7</t>
  </si>
  <si>
    <t>Contratação de empresa ou cooperativa para executar serviços de transporte escolar aos alunos da rede estadual de ensino matriculados nas escolas estaduais do município de Cariacica/Viana.</t>
  </si>
  <si>
    <t>2024-Z76TQV</t>
  </si>
  <si>
    <t>Contratação de empresa ou cooperativa para executar serviços de transporte escolar aos alunos da rede estadual de ensino matriculados nas escolas estaduais do município de Barra de São Francisco.</t>
  </si>
  <si>
    <t>2024-L9KZQX</t>
  </si>
  <si>
    <t>2024-8PSRN8</t>
  </si>
  <si>
    <t>2024-KVR17L</t>
  </si>
  <si>
    <t>2024-PCZNW7</t>
  </si>
  <si>
    <t xml:space="preserve">Contratação de empresa ou cooperativa para executar serviços de
transporte escolar aos alunos da rede estadual de ensino matriculados nas escolas estaduais do município de Barra
de São Francisco.
</t>
  </si>
  <si>
    <t>2024-TTXQ7B</t>
  </si>
  <si>
    <t>Contratação de empresa ou cooperativa para executar serviços de transporte escolar aos alunos da rede estadual de ensino matriculados nas escolas estaduais do município de São Mateus.</t>
  </si>
  <si>
    <t>2024-97H56H</t>
  </si>
  <si>
    <t>2024-DFQ2WG</t>
  </si>
  <si>
    <t>Contratação de empresa gráfica para fornecer 48 placas que indicarão o marco de implementação da educação em tempo integral nas escolas do programa de expansão dessa política. As placas serão distribuídas nas escolas implatadas até 2026, conforme a meta governamental de 100 escolas.</t>
  </si>
  <si>
    <t>2024-6PCDM8</t>
  </si>
  <si>
    <t>Contratação de empresa especializada para a reprodução gráfica de 700 exemplares das Orientações Pedagógicas Passo a Passo (OPPPs). O quantitativo de material a ser demandado foi estimado com base no número total de escolas em tempo integral e Superintendências Regionais de Educação.</t>
  </si>
  <si>
    <t>2024-XSDDXZ</t>
  </si>
  <si>
    <t>2024-95GC9S</t>
  </si>
  <si>
    <t>2024-1GWFQC</t>
  </si>
  <si>
    <t>2024-6J02DF</t>
  </si>
  <si>
    <t>2024-LVN85B</t>
  </si>
  <si>
    <t>2024-891L7M</t>
  </si>
  <si>
    <t>Contratação de empresa ou cooperativa para executar serviços de transporte escolar aos alunos da rede estadual de ensino matriculados nas escolas estaduais do município da Serra.</t>
  </si>
  <si>
    <t>2024-ZGR988</t>
  </si>
  <si>
    <t>2024-3H479Q</t>
  </si>
  <si>
    <t>2024-K42JHS</t>
  </si>
  <si>
    <t>2024-87M70L</t>
  </si>
  <si>
    <t>GERFE</t>
  </si>
  <si>
    <t>Trata-se da locação de imóvel localizado na região do centro do Município de Barra de São Francisco/ES, destinado ao funcionamento da EEEFM Governador Lindenberg.</t>
  </si>
  <si>
    <t>33.1672 - MODERNIZAÇÃO, AMPLIAÇÃO E ADEQUAÇÃO DA REDE DE ESCOLAS DE ENSINO FUNDAMENTAL, 33.1673 -  MODERNIZAÇÃO, AMPLIAÇÃO E ADEQUAÇÃO DA REDE DE ESCOLAS DE ENSINO MÉDIO</t>
  </si>
  <si>
    <t>2024-7GFZG2</t>
  </si>
  <si>
    <t>Trata-se da contratação de obra e serviços de engenharia, em razão da definição do art. 6º, incisos XII e XXI, a, da Lei Federal nº 14.133/2021, referente a obra para Construção da Superintendência Regional de Ensino (SRE) de Linhares, localizada em Linhares/ES.</t>
  </si>
  <si>
    <t>Investimento</t>
  </si>
  <si>
    <t>2024-DSR98R</t>
  </si>
  <si>
    <t>Trata-se da contratação de serviços de engenharia, referente a contratação de obras padronizadas e manutenção corretiva nos prédios administrativos e escolares vinculados à rede pública de ensino do Estado do Espírito Santo, com fornecimento de materiais e mão-de-obra.</t>
  </si>
  <si>
    <t>33.1672 - MODERNIZAÇÃO, AMPLIAÇÃO E ADEQUAÇÃO DA REDE DE ESCOLAS DE ENSINO FUNDAMENTAL, 33.1673 -  MODERNIZAÇÃO, AMPLIAÇÃO E ADEQUAÇÃO DA REDE DE ESCOLAS DE ENSINO MÉDIO, 32.1450 - MODERNIZAÇÃO, AMPLIAÇÃO E ADEQUAÇÃO DAS UNIDADES ADMINISTRATIVAS</t>
  </si>
  <si>
    <t>2024-S5GNXM</t>
  </si>
  <si>
    <t>Contratação de empresa especializada para assegurar alimentação balanceada e em condições higiênico-sanitárias adequadas para atender aos alunos matriculados em unidades escolares da rede estadual de ensino do Estado do Espírito Santo.</t>
  </si>
  <si>
    <t>2024-DLZ5T1</t>
  </si>
  <si>
    <t>Trata-se da contratação de Ambientes de Rápida Implantação - ARI, visando apoio as unidades escolares e/ou obras de reforma, ampliação e reconstrução de imóveis pertencentes a Sedu, com fornecimento de equipamentos.</t>
  </si>
  <si>
    <t>32.1450 - MODERNIZAÇÃO, AMPLIAÇÃO E ADEQUAÇÃO DAS UNIDADES ADMINISTRATIVAS, 33.1672 - MODERNIZAÇÃO, AMPLIAÇÃO E ADEQUAÇÃO DA REDE DE ESCOLAS DE ENSINO FUNDAMENTAL, 33.1673 -  MODERNIZAÇÃO, AMPLIAÇÃO E ADEQUAÇÃO DA REDE DE ESCOLAS DE ENSINO MÉDIO</t>
  </si>
  <si>
    <t>2024-9LJ5ZP</t>
  </si>
  <si>
    <t>Trata-se da locação de imóvel localizado na região de Meaípe do Município de Guarapari/ES, destinado ao funcionamento da EEEF Manoel Rozindo da Silva.</t>
  </si>
  <si>
    <t>2024-X6NMPK</t>
  </si>
  <si>
    <t>Reforma e ampliação do CEEMTI AFONSO CLÁUDIO, localizado na Rua Ute Amélia Gastin Pádua, nº 124, bairro São Tarcísio, município de Afonso Cláudio (ES).</t>
  </si>
  <si>
    <t>CT 089/2020 2021-17B4B</t>
  </si>
  <si>
    <t>33.1673 -  MODERNIZAÇÃO, AMPLIAÇÃO E ADEQUAÇÃO DA REDE DE ESCOLAS DE ENSINO MÉDIO</t>
  </si>
  <si>
    <t>2024-WJ0DHT</t>
  </si>
  <si>
    <t>2024-L6NS05</t>
  </si>
  <si>
    <t>Contratação de empresa através de licitação na modalidade concorrência visando a REFORMA NA EEEFM ALMIRANTE BARROSO, localizada em Vitória-ES, com fornecimento de mão-de-obra e materiais.</t>
  </si>
  <si>
    <t>CT  103/2023                 2023-DHSK8</t>
  </si>
  <si>
    <t>33.1672 - MODERNIZAÇÃO, AMPLIAÇÃO E ADEQUAÇÃO DA REDE DE ESCOLAS DE ENSINO FUNDAMENTAL, 33.2704 - MODERNIZAÇÃO E REAPARELHAMENTO DAS ESCOLAS DE ENSINO MÉDIO</t>
  </si>
  <si>
    <t>2024-ZCV838</t>
  </si>
  <si>
    <t xml:space="preserve">REFORMA E AMPLIAÇÃO DA EEEFM PROFª REGINA BANHOS PAIXÃO, localizada no município de Linhares, com fornecimento de mão-de-obra e materiais.
</t>
  </si>
  <si>
    <t>CT 136/2022  2022-PDZ1F</t>
  </si>
  <si>
    <t>2024-ZGF2LQ</t>
  </si>
  <si>
    <t>Contratação de empresa através de licitação na modalidade concorrência visando a REFORMA DA EEEFM PROFESSORA PETRONILHA VIDIGAL, localizada em Cachoeiro de Itapemirim-ES, com fornecimento de mão-de-obra e materiais.</t>
  </si>
  <si>
    <t>CT 028/2023                              2023-LTBBB</t>
  </si>
  <si>
    <t>2024-6VLXLS</t>
  </si>
  <si>
    <t>Trata-se da contratação de obra e serviços de engenharia, em razão da definição do art. 6º, incisos XII e XXI, a, da Lei Federal nº 14.133/2021, referente a obra para Construção da Superintendência Regional de Ensino (SRE) de Guaçuí, localizada em Guaçuí - ES.</t>
  </si>
  <si>
    <t>2024-MVJQ1T</t>
  </si>
  <si>
    <t>CONSTRUÇÃO DE MURO DE ARRIMO NA EEEFM SANTÍSSIMA TRINDADE, localizada em Iúna, com fornecimento de mão-de-obra e materiais.</t>
  </si>
  <si>
    <t>CT 022/2024             2023-TKMC3</t>
  </si>
  <si>
    <t>2024-F6KM41</t>
  </si>
  <si>
    <t>Contratação de empresa através de licitação na modalidade concorrência visando a REFORMA E AMPLIAÇÃO DA EEEFM PROFESSORA MARIA OLINDA DE OLIVEIRA MENEZES, localizada em Serra-ES, com fornecimento de mão-de-obra e materiais.</t>
  </si>
  <si>
    <t>CT 006/2023                 2022-N0H68</t>
  </si>
  <si>
    <t>2024-NJPGTW</t>
  </si>
  <si>
    <t xml:space="preserve">REFORMA E AMPLIAÇÃO NA EEEM PROFESSOR JOSÉ VEIGA DA SILVA, localizada em Marataízes, com fornecimento de mão-de-obra e materiais.
</t>
  </si>
  <si>
    <t>CT 169/2022                2021-X1L5G</t>
  </si>
  <si>
    <t>2024-8M1S7X</t>
  </si>
  <si>
    <t>REFORMA E AMPLIAÇÃO DA SUPERINTENDÊNCIA REGIONAL DE EDUCAÇÃO DE SÃO MATEUS, localizada na Av. Jones dos Santos Neves, 175, Centro, São Mateus, com fornecimento de mão-de-obra e materiais.</t>
  </si>
  <si>
    <t>CT 178/2022    2022-S41F5</t>
  </si>
  <si>
    <t>2024-7V8BHX</t>
  </si>
  <si>
    <t>REFORMA E AMPLIAÇÃO NA EEEFM PRIMO BITTI, localizada em Aracruz-ES, com fornecimento de mão-de-obra e materiais.</t>
  </si>
  <si>
    <t>CT 069/2023             2023-GCNT1</t>
  </si>
  <si>
    <t>2024-9MT139</t>
  </si>
  <si>
    <t>REFORMA E AMPLIAÇÃO NA EEEFM ELICE BAPTISTA GÁUDIO, localizada em Serra - ES, com fornecimento de mão-de-obra e materiais.</t>
  </si>
  <si>
    <t>CT 083/2024              2023-61H7S</t>
  </si>
  <si>
    <t>2024-NJL5XX</t>
  </si>
  <si>
    <t>2024-R71M7B</t>
  </si>
  <si>
    <t xml:space="preserve">.Execução de REFORMA E AMPLIAÇÃO NA ESCOLA NOSSA SENHORA APARECIDA, com fornecimento de mão-de-obra e materiais. </t>
  </si>
  <si>
    <t>CT 098/2022
2020-3H76P</t>
  </si>
  <si>
    <t>2024-31GLHB</t>
  </si>
  <si>
    <t>CT 130/2022               2022-904J8</t>
  </si>
  <si>
    <t>2024-WPRQ73</t>
  </si>
  <si>
    <t xml:space="preserve">Execução de ADEQUAÇÃO DO CABEAMENTO ESTRUTURADO DA SEDU CENTRAL com fornecimento de mão-de-obra e materiais. </t>
  </si>
  <si>
    <t>2023-D6NJQ</t>
  </si>
  <si>
    <t>2024-PMR35M</t>
  </si>
  <si>
    <t>URBANIZAÇÃO E REFORMA DO ESTACIONAMENTO DA SEDU CENTRAL, localizada em Vitória - ES, com fornecimento de mão-de-obra e materiais.</t>
  </si>
  <si>
    <t>2024-4VVNB7</t>
  </si>
  <si>
    <t>Contratação de empresa através de licitação na modalidade concorrência visando a REFORMA CIVIL E ELÉTRICA NA CEEMTI MONSENHOR GUILHERME SCHMITZ, localizada em Aracruz-ES, com fornecimento de mão-de-obra e materiais.</t>
  </si>
  <si>
    <t>CT 117/2022              2020-B9B3D</t>
  </si>
  <si>
    <t>2024-V1689C</t>
  </si>
  <si>
    <t>Execução de REFORMA NA EEEFM TEÓFILO PAULINO, com fornecimento de mão-de-obra e materiais.</t>
  </si>
  <si>
    <t>CT 087/2022
2021-F0R43</t>
  </si>
  <si>
    <t>2024-8FJD3G</t>
  </si>
  <si>
    <t>Contratação de empresa através de licitação na  modalidade concorrência visando a REFORMA E AMPLIAÇÃO DA EEEFM FRANCISCO NASCIMENTO, com fornecimento de mão-de-obra e materiais.</t>
  </si>
  <si>
    <t>2024-071H3J</t>
  </si>
  <si>
    <t xml:space="preserve">Execução de REFORMA NA EEEF PATRIMÔNIO PRATA DOS BAIANOS com fornecimento de mão-de-obra e materiais. </t>
  </si>
  <si>
    <t>CT 107/2023
2023-CT4VN</t>
  </si>
  <si>
    <t>2024-RNJXSG</t>
  </si>
  <si>
    <t>Trata-se da contratação de obra e serviços de engenharia, em razão da definição do art. 6º, incisos XII e XXI, a, da Lei Federal nº 14.133/2021, referente a Reconstrução de Muro de Divisa com Arrimo da CEEFMTI Governador Gerson Camata, localizada em São Gabriel da Palha /ES.</t>
  </si>
  <si>
    <t>2024-KLLJFG</t>
  </si>
  <si>
    <t xml:space="preserve">Execução de REFORMA E AMPLIAÇÃO NA EEEFM CÂNDIDO POTINARI, comfornecimento de mão-de-obra e materiais. </t>
  </si>
  <si>
    <t>CT 080/2023
2023-W5GS7</t>
  </si>
  <si>
    <t>2024-B34L84</t>
  </si>
  <si>
    <t>Trata-se da contratação de obra e serviços de engenharia, em razão da definição do art. 6º, incisos XII e XXI, a, da Lei Federal nº 14.133/2021, referente a obra de reforma e ampliação da EEEFM Frederico Boldt, localizada em Santa Maria de Jetibá /ES.</t>
  </si>
  <si>
    <t>2024-4D0BRC</t>
  </si>
  <si>
    <t>Contratação de empresa através de licitação na modalidade concorrência visando a REFORMA NA EEEFM MARIA DE LOURDES POYARES LABUTO, localizado no município de Cariacica/ES, com fornecimento de mão-de-obra e materiais.</t>
  </si>
  <si>
    <t>CT 097/2022            2020-OHNL1</t>
  </si>
  <si>
    <t>2024-XLQ0D7</t>
  </si>
  <si>
    <t>Execução de REFORMA NA EEEFM DOMINGOS PERIM, com fornecimento de mão-de-obra e materiais.</t>
  </si>
  <si>
    <t>CT 052/2024
2023-5CXGX</t>
  </si>
  <si>
    <t>2024-BLDZ4X</t>
  </si>
  <si>
    <t>EXECUÇÃO DE ESTRUTURAS DE CONTENÇÃO NO TERRENO DO CEEMTI AFONSO CLÁUDIO, localizada em Afonso Cláudio - ES, com fornecimento de mão-de-obra e materiais.</t>
  </si>
  <si>
    <t>CT 064/2024                 2023-5JBBD</t>
  </si>
  <si>
    <t>2024-8D3798</t>
  </si>
  <si>
    <t xml:space="preserve">REFORMA NA EEEFM DE JOASSUBA “SR. ANTÔNIO PATRÍCIO DE FONTOURA”, localizada em Ecoporanga - ES, com fornecimento de mão-de-obra e materiais.
</t>
  </si>
  <si>
    <t>CT 061/2024                 2023-6MVJG</t>
  </si>
  <si>
    <t>2024-VB42RF</t>
  </si>
  <si>
    <t>RECONSTRUÇÃO DO CASTELO D’ÁGUA E ADEQUAÇÕES CIVIS NA CEEFMTI JOAQUIM BEATO, localizada em Serra, com fornecimento de mão-de-obra e materiais.</t>
  </si>
  <si>
    <t>CT 075/2024              2023-2SVB7</t>
  </si>
  <si>
    <t>2024-HW1VTQ</t>
  </si>
  <si>
    <t>Execução de REFORMA E AMPLIAÇÃO NO CEEFMTI ANTÔNIO ACHA, com fornecimento de mão-de-obra e materiais.</t>
  </si>
  <si>
    <t>CT 086/2024
2023-B7947</t>
  </si>
  <si>
    <t>2024-LC2HSK</t>
  </si>
  <si>
    <t>Contratação de empresa através de licitação na modalidade concorrência visando a REFORMA CEEMTI FERNANDO DUARTE RABELLO -
IMPL. DO CENTRO DE FORMAÇÃO PROF EDUC ES CEFOPE, localizada em Vitória/ES, com fornecimento de mão-de-obra e materiais.</t>
  </si>
  <si>
    <t>CT 096/2022             2021-5HKFW</t>
  </si>
  <si>
    <t>32.1450 - MODERNIZAÇÃO, AMPLIAÇÃO E ADEQUAÇÃO DAS UNIDADES ADMINISTRATIVAS, 33.2704 - MODERNIZAÇÃO E REAPARELHAMENTO DAS ESCOLAS DE ENSINO MÉDIO</t>
  </si>
  <si>
    <t>2024-CCJPM6</t>
  </si>
  <si>
    <t xml:space="preserve">Execução de REFORMA NA EEEFM AGENOR DE SOUZA LÉ, com fornecimento de mão-de-obra e materiais. </t>
  </si>
  <si>
    <t>CT 070/2024                    2023-0WPQ0</t>
  </si>
  <si>
    <t>2024-4G6QXC</t>
  </si>
  <si>
    <t>2024-14L6CL</t>
  </si>
  <si>
    <t>Trata-se da contratação de obra e serviços de engenharia, em razão da definição do art. 6º, incisos XII e XXI, a, da Lei Federal nº 14.133/2021, referente a obra de reforma e ampliação da EEEFM Theodomiro Ribeiro Coelho, localizada em Cariacica /ES.</t>
  </si>
  <si>
    <t>2024-77ZWV8</t>
  </si>
  <si>
    <t>Trata-se da contratação de obra e serviços de engenharia, em razão da definição do art. 6º, incisos XII e XXI, a, da Lei Federal nº 14.133/2021, referente a Estabilização de Talude na EEEM Bráulio Franco, localizada em Muniz Freire/ES.</t>
  </si>
  <si>
    <t>2024-GG4S4K</t>
  </si>
  <si>
    <t>Trata-se da contratação de obra e serviços de engenharia, em razão da definição do art. 6º, incisos XII e XXI, a, da Lei Federal nº 14.133/2021, referente a obra de reforma e ampliação da EEEFM Ponto Do Alto, localizada em Domingos Martins/ES.</t>
  </si>
  <si>
    <t>2024-930NS2</t>
  </si>
  <si>
    <t>Trata-se da contratação de obra e serviços de engenharia, em razão da definição do art. 6º, incisos XII e XXI, a, da Lei Federal nº 14.133/2021, referente a Reforma da EEEM Arnulpho Mattos, localizada no município de Vitória/ES.</t>
  </si>
  <si>
    <t>2024-BN2PK6</t>
  </si>
  <si>
    <t xml:space="preserve">Trata-se de aquisição de terreno localizado no bairro Jardim Tropical do Município de Serra/ES, destinado a ampliação da edificação que abriga a EEEFM Antônio Luiz Valiati. </t>
  </si>
  <si>
    <t>2024-NJLJST</t>
  </si>
  <si>
    <t>2024-Z3LJVC</t>
  </si>
  <si>
    <t>Trata-se da contratação de obra e serviços de engenharia, em razão da definição do art. 6º, incisos XII e XXI, a, da Lei Federal nº 14.133/2021, referente a obra de reforma e ampliação da EEEFM Antonio Luiz Valiatti, localizada em Serra/ES.</t>
  </si>
  <si>
    <t>2024-6GVFRB</t>
  </si>
  <si>
    <t>Trata-se da contratação de obra e serviços de engenharia, em razão da definição do art. 6º, incisos XII e XXI, a, da Lei Federal nº 14.133/2021, referente a Construção de Muro de Arrimo, Intervenções Emergenciais da EEEFM Maria Ortiz, localizada em Vitória/ES.</t>
  </si>
  <si>
    <t>2024-HF0W0M</t>
  </si>
  <si>
    <t>Trata-se da contratação de obra e serviços de engenharia, em razão da definição do art. 6º, incisos XII e XXI, a, da Lei Federal nº 14.133/2021, referente para Demolição e reconstrução das coberturas da EEEFM Ewerton Montenegro, localizada no município de Viana/ES.</t>
  </si>
  <si>
    <t>2024-S82C86</t>
  </si>
  <si>
    <t>Trata-se da contratação de obra e serviços de engenharia, em razão da definição do art. 6º, incisos XII e XXI, a, da Lei Federal nº 14.133/2021, referente a obra de reforma e ampliação da EEEFM João Neiva, localizada em João Neiva /ES.</t>
  </si>
  <si>
    <t>33.1673 -  MODERNIZAÇÃO, AMPLIAÇÃO E ADEQUAÇÃO DA REDE DE ESCOLAS DE ENSINO MÉDIO, 33.1672 - MODERNIZAÇÃO, AMPLIAÇÃO E ADEQUAÇÃO DA REDE DE ESCOLAS DE ENSINO FUNDAMENTAL</t>
  </si>
  <si>
    <t>2024-HGX9HD</t>
  </si>
  <si>
    <t>Trata-se da contratação de obra e serviços de engenharia, em razão da definição do art. 6º, incisos XII e XXI, a, da Lei Federal nº 14.133/2021, referente para Demolição da Escola Estadual de Ensino Fundamental Princesa Isabel, localizada no município de Linhares/ES.</t>
  </si>
  <si>
    <t>2024-DSJ8MC</t>
  </si>
  <si>
    <t>Trata-se da contratação de obra e serviços de engenharia, em razão da definição do art. 6º, incisos XII e XXI, a, da Lei Federal nº 14.133/2021, referente a Reforma e Ampliação da Escola Estadual de Ensino Médio Professor Renato José da Costa Pacheco, localizada em Vitória/ES.</t>
  </si>
  <si>
    <t>2024-N4X06N</t>
  </si>
  <si>
    <t xml:space="preserve">Trata-se de aquisição de terreno localizado na região da Prainha do Município de Vila Velha/ES, destinado construção de edificação para instalação de unidade escolar. </t>
  </si>
  <si>
    <t>2024-80D8V9</t>
  </si>
  <si>
    <t>2024-HX1PP8</t>
  </si>
  <si>
    <t>Trata-se da contratação de obra e serviços de engenharia, em razão da definição do art. 6º, incisos XII e XXI, a, da Lei Federal nº 14.133/2021, referente a Reconstrução do Castelo D’água da EEEFM Rubens Rangel, localizada em Colatina /ES.</t>
  </si>
  <si>
    <t>2024-8P1900</t>
  </si>
  <si>
    <t>Trata-se da contratação de obra e serviços de engenharia, em razão da definição do art. 6º, incisos XII e XXI, a, da Lei Federal nº 14.133/2021, referente para Reforma e Ampliação da Escola Estadual de Ensino Fundamental e Médio Olegário Martins, localizada no município de Água Doce do Norte/ES.</t>
  </si>
  <si>
    <t>2024-CF6RFV</t>
  </si>
  <si>
    <t>Trata-se da contratação de obra e serviços de engenharia, em razão da definição do art. 6º, incisos XII e XXI, a, da Lei Federal nº 14.133/2021, referente a Construção do Castelo D’água da EEEFM Saturnino Rangel Mauro, localizada em Cariacica/ES.</t>
  </si>
  <si>
    <t>2024-RB92R4</t>
  </si>
  <si>
    <t>Trata-se da contratação de obra e serviços de engenharia, em razão da definição do art. 6º, incisos XII e XXI, a, da Lei Federal nº 14.133/2021, referente a obra para Reforma e Ampliação da EEEFM São Jorge, localizada em Brejetuba/ES.</t>
  </si>
  <si>
    <t>2024-24QQ5Q</t>
  </si>
  <si>
    <t>Trata-se da contratação de obra e serviços de engenharia, em razão da definição do art. 6º, incisos XII e XXI, a, da Lei Federal nº 14.133/2021, referente a Reconstrução do Castelo D’água da EEEFM Nelson Vieira, localizada em Viana /ES.</t>
  </si>
  <si>
    <t>2024-13XM2J</t>
  </si>
  <si>
    <t>Trata-se da aquisição de móveis planejados, incluídos os serviços de montagem e de instalação de marcenaria e de carpintaria para a unidade administrativa central da Secretaria de Estado da Educação - Sedu, localizada em Vitória/ES.</t>
  </si>
  <si>
    <t>2024-F1C8WS</t>
  </si>
  <si>
    <t>2024-8BQD63</t>
  </si>
  <si>
    <t>Trata-se da contratação de obra e serviços de engenharia, em razão da definição do art. 6º, incisos XII e XXI, a, da Lei Federal nº 14.133/2021, referente a reconstrução do castelo d’água da EEEFM Zumbi Dos Palmares, localizada em SERRA /ES.</t>
  </si>
  <si>
    <t>2024-VLFCMK</t>
  </si>
  <si>
    <t>Trata-se da contratação de obra e serviços de engenharia, em razão da definição do art. 6º, incisos XII e XXI, a, da Lei Federal nº 14.133/2021, referente a Reforma e ampliação CEEMTI Monsenhor Miguel de Sanctis, localizada em Guaçuí/ES.</t>
  </si>
  <si>
    <t>2024-H10NKV</t>
  </si>
  <si>
    <t>Trata-se da contratação de obra e serviços de engenharia, em razão da definição do art. 6º, incisos XII e XXI, a, da Lei Federal nº 14.133/2021, referente a Reconstrução do Castelo D’água da CEEMTI Bartouvino Costa, localizada em Linhares /ES.</t>
  </si>
  <si>
    <t>2024-79PQLW</t>
  </si>
  <si>
    <t>Trata-se da contratação de obra e serviços de engenharia, em razão da definição do art. 6º, incisos XII e XXI, a, da Lei Federal nº 14.133/2021, referente a reconstrução do castelo d’água da EEEM Emir De Macedo Gomes, localizada em Linhares /ES.</t>
  </si>
  <si>
    <t>2024-F250FS</t>
  </si>
  <si>
    <t>Trata-se da contratação de obra e serviços de engenharia, em razão da definição do art. 6º, incisos XII e XXI, a, da Lei Federal nº 14.133/2021, referente para a Reforma da Escola Estadual de Ensino Fundamental e Médio Maria Trindade Oliveira, localizada em Ibatiba/ES.</t>
  </si>
  <si>
    <t>2024-NWKN1X</t>
  </si>
  <si>
    <t>Trata-se da contratação de obra e serviços de engenharia, em razão da definição do art. 6º, incisos XII e XXI, a, da Lei Federal nº 14.133/2021, referente a Reconstrução do Castelo D’água da EEEFM DR. Silva Mello, localizada em Guarapari /ES.</t>
  </si>
  <si>
    <t>2024-HTF1G6</t>
  </si>
  <si>
    <t>2024-MZFT65</t>
  </si>
  <si>
    <t>Trata-se da contratação de obra e serviços de engenharia, em razão da definição do art. 6º, incisos XII e XXI, a, da Lei Federal nº 14.133/2021, referente a Reconstrução do Castelo D’água da EEEFM Benício Gonçalves, localizada em Vila Velha /ES.</t>
  </si>
  <si>
    <t>2024-0FMQL0</t>
  </si>
  <si>
    <t>2024-30G0GC</t>
  </si>
  <si>
    <t>Trata-se da contratação de obra e serviços de engenharia, em razão da definição do art. 6º, incisos XII e XXI, a , Lei Federal nº 14.133/2021, referente a Reforma e Ampliação da Escola Estadual de Ensino Fundamental e Médio Cândida Povoa, localizada no município de Apiacá/ES.</t>
  </si>
  <si>
    <t>2024-8V0VJQ</t>
  </si>
  <si>
    <t>Trata-se da contratação de obra e serviços de engenharia, em razão da definição do art. 6º, incisos XII e XXI, a, da Lei Federal nº 14.133/2021, referente a reconstrução do castelo d’água da CEEFMTI Maura Abaurre, localizada em Vila Velha /ES.</t>
  </si>
  <si>
    <t>2024-QDJSWN</t>
  </si>
  <si>
    <t>2022-JGFWQ - OBRA DE REFORMA E AMPLIAÇÃO NA EEEFM AGOSTINHO AGRIZZI, LOCALIZADA NO MUNICÍPIO DE VARGEM ALTA/ES. ID CidadES/TCE-ES: 2022.500E0600020.01.0021 - CT 141-2022</t>
  </si>
  <si>
    <t xml:space="preserve">CT 141/2022 2022-JGFWQ </t>
  </si>
  <si>
    <t>2024-2B603J</t>
  </si>
  <si>
    <t>OBRA DE REFORMA NA SEDU CENTRAL, LOCALIZADA NO MUNICÍPIO DE VITÓRIA/ES</t>
  </si>
  <si>
    <t>CT 088/2022 2021-3M0CB </t>
  </si>
  <si>
    <t>2024-QGT842</t>
  </si>
  <si>
    <t>GEST</t>
  </si>
  <si>
    <t>Contratação de empresa prestadora de serviços, especializados, em segurança eletrônica integrada, com fornecimento de material, instalação, integração, operação, manutenção de equipamentos com utilização de Inteligência Artificial - IA</t>
  </si>
  <si>
    <t>32.2175 - MANUTENÇÃO DAS UNIDADES CENTRAL E REGIONAIS; 32.2354 - MANUTENÇÃO E MODERNIZAÇÃO DOS SERVIÇOS NAS ESCOLAS DE ENSINO FUNDAMENTAL; 32.2356 - MANUTENÇÃO E MODERNIZAÇÃO DOS SERVIÇOS NAS ESCOLAS DE ENSINO MÉDIO.</t>
  </si>
  <si>
    <t>32.1450 - MODERNIZAÇÃO, AMPLIAÇÃO E ADEQUAÇÃO DAS UNIDADES ADMINISTRATIVAS; 33.2703 - MODERNIZAÇÃO E REAPARELHAMENTO DAS ESCOLAS DE ENSINO FUNDAMENTAL; 33.2704 - MODERNIZAÇÃO E REAPARELHAMENTO DAS ESCOLAS DE ENSINO MÉDIO</t>
  </si>
  <si>
    <t>2024-R4Z3PZ</t>
  </si>
  <si>
    <t>Contrato 043/2023 Processo 2023-QHSTT</t>
  </si>
  <si>
    <t>32.2175 - MANUTENÇÃO DAS UNIDADES CENTRAL E REGIONAIS,  32. 2354 - MANUTENÇÃO E MODERNIZAÇÃO DOS SERVIÇOS NAS ESCOLAS DE ENSINO FUNDAMENTAL, 32. 2356 - MANUTENÇÃO E MODERNIZAÇÃO DOS SERVIÇOS NAS ESCOLAS DE ENSINO MÉDIO</t>
  </si>
  <si>
    <t>2024-K495KT</t>
  </si>
  <si>
    <t>Contr. 012/2023
Proc. 2023-BJ13R</t>
  </si>
  <si>
    <t>2024-7H3K2T</t>
  </si>
  <si>
    <t>GGE</t>
  </si>
  <si>
    <t>Contratação de empresa para  confecção de troféu da cerimônia do “Prêmio SEDU: Boas Práticas na Educação”.</t>
  </si>
  <si>
    <t>Contrato 042/2021 Processo 2021-06LKD</t>
  </si>
  <si>
    <t>33.2348 VALORIZAÇÃO E FORTALECIMENTO DOS PROFISSIONAIS DA EDUCAÇÃO</t>
  </si>
  <si>
    <t>2024-CR4W20</t>
  </si>
  <si>
    <t>2024-W2364T</t>
  </si>
  <si>
    <t>Contrato 011/2023 Processo 2023-Z5K84</t>
  </si>
  <si>
    <t>2024-90L1QJ</t>
  </si>
  <si>
    <t>Contrato 017/2023 Processo 2023-S4JC6</t>
  </si>
  <si>
    <t>2024-5B9SJV</t>
  </si>
  <si>
    <t>Contr. 081/2021
Proc. 2021-W67F5</t>
  </si>
  <si>
    <t>2024-18XWG3</t>
  </si>
  <si>
    <t>Contr. 010/2023
Proc. 2023-XBWG6</t>
  </si>
  <si>
    <t>2024-SP958K</t>
  </si>
  <si>
    <t>Contratação de empresa para confecção de materiais gráficos para o "Prêmio SEDU: Boas Práticas na Educação."</t>
  </si>
  <si>
    <t>Contr. 148/2022
Proc. 2022-JNNLQ</t>
  </si>
  <si>
    <t>2024-S881LF</t>
  </si>
  <si>
    <t>Contr. 171/2022
Proc. 2022-XLHQ3</t>
  </si>
  <si>
    <t>2024-LVZD69</t>
  </si>
  <si>
    <t>2024-21LCJ2</t>
  </si>
  <si>
    <t>2024-3JRX82</t>
  </si>
  <si>
    <t>Contrato 001/2020 Processo 2021-B5V3R</t>
  </si>
  <si>
    <t>2024-HKZ2PR</t>
  </si>
  <si>
    <t>O presente tem por objeto a contratação de prestação de serviços de vigilância patrimonial para cobertura das Unidades Escolares jurisdicionadas à SRE Carapina, Superintendência Regional de Carapina e Unidade Central, vinculadas à Secretaria de Estado da Educação do Espírito Santo.</t>
  </si>
  <si>
    <t>2024-RSBKNX</t>
  </si>
  <si>
    <t>Contratação de empresa para confecção de materiais gráficos para a valorização do trabalho dos mediadores e mentores das formações.</t>
  </si>
  <si>
    <t>2024-J0596V</t>
  </si>
  <si>
    <t>Contratação de prestação de serviços de vigilância patrimonial para cobertura das Unidades Escolares e administrativas, vinculadas à Secretaria de Estado da Educação do Espírito Santo, em LOTE ÚNICO, especificamente para a região 5.</t>
  </si>
  <si>
    <t>2024-K4MFZ9</t>
  </si>
  <si>
    <t>GERCO</t>
  </si>
  <si>
    <t>Aquisição do Material Didático Complementar do Paes por meio de empresa especializada na prestação de serviços de impressão gráfica para estudantes e professores do 1º, 2º, 3º e 4º ano do Ensino Fundamental.</t>
  </si>
  <si>
    <t>2024-X8BLDW</t>
  </si>
  <si>
    <t>Trata-se de aquisição de terreno localizado na região de Jacaraípe do Município de Serra/ES, destinado construção de edificação, para instalação de unidade escolar.</t>
  </si>
  <si>
    <t>2024-7B5ZB3</t>
  </si>
  <si>
    <t>Trata-se da locação de imóvel, no município de São Mateus, destinado ao funcionamento da EEEM Ceciliano Abel de Almeida durante o período da obra de reforma e ampliação da unidade escolar.</t>
  </si>
  <si>
    <t>2024-0BF4VL</t>
  </si>
  <si>
    <t>CONTRATAÇÃO DE PROJETOS DE ARQUITETURA E COMPLEMENTARES DE ENGENHARIA COM O USO DA MODELAGEM DA INFORMAÇÃO DA CONSTRUÇÃO (BIM), PARA RECONSTRUÇÃO DA ESCOLA EEEFM DESEMBARGADOR CARLOS XAVIER PAES BARRETO E MODERNIZAÇÃO DO EDIFICIO SEDU-CENTRAL NA ÁREA PERTENCENTE À SECRETARIA ESTADUAL DE EDUCAÇÃO.</t>
  </si>
  <si>
    <t>CT  016/2021                 2020-PRR1F</t>
  </si>
  <si>
    <t>2024-20CLW5</t>
  </si>
  <si>
    <t>Contratação de Empresa para o fornecimento de passe escolar aos alunos da rede estadual residentes na zona urbana do município de Nova Venécia.</t>
  </si>
  <si>
    <t>2024-6N47L4</t>
  </si>
  <si>
    <t>Prestação de serviços de apoio técnico à GERFE, compreendendo atividades técnicas nas áreas de engenharia e arquitetura.</t>
  </si>
  <si>
    <t>2024-D6485G</t>
  </si>
  <si>
    <t>Contratação de Empresa para o fornecimento de passe escolar aos alunos da rede estadual residentes na zona urbana do município de Linhares.</t>
  </si>
  <si>
    <t>2024-J2FLST</t>
  </si>
  <si>
    <t>Contratação de Empresa para o fornecimento de passe escolar aos alunos da rede estadual residentes na zona urbana do município de São Mateus.</t>
  </si>
  <si>
    <t xml:space="preserve"> unidade</t>
  </si>
  <si>
    <t>2024-Q9F3R0</t>
  </si>
  <si>
    <t>2024-G30RRS</t>
  </si>
  <si>
    <t>Aquisição de gêneros alimentícios oriundos da Agricultura Familiar e do Empreendedor Familiar Rural ou de suas organizações, para prover as necessidades de alimentação escolar dos estudantes matriculados na rede estadual de ensino do Espírito Santo.</t>
  </si>
  <si>
    <t>2024-NHJNXC</t>
  </si>
  <si>
    <t xml:space="preserve">Contratação de empresa ou cooperativa para executar serviços de transporte escolar aos alunos da rede estadual de ensino matriculados nas escolas estaduais do município de Guarapari.
</t>
  </si>
  <si>
    <t>2024-9N00T5</t>
  </si>
  <si>
    <t>2022-09CB5 - OBRA DE REFORMA DA EEEFM OLAVO RODRIGUES DA COSTA, LOCALIZADA NO MUNICÍPIO DE IBITIRAMA/ES. ID CidadES/TCE-ES: 2022.500E0600020.01.0063. CONTRATO Nº015/2023-SEDU.</t>
  </si>
  <si>
    <t>CT 015/2023 2022-09CB5</t>
  </si>
  <si>
    <t>2024-DBLK4F</t>
  </si>
  <si>
    <t>RECONSTRUÇÃO DA EEEFM PROFESSORA FILOMENA QUITIBA, LOCALIZADA EM PIÚMA/ES. IDCIDADES/TCE-ES:2023.500E0600020.01.0001.</t>
  </si>
  <si>
    <t>2022-QBHWN            CT 016/2023</t>
  </si>
  <si>
    <t>2024-18T43Z</t>
  </si>
  <si>
    <t>Contratação de empresa via licitação (pregão eletrônico) para serviços de sondagem geotécnica (reconhecimento de solo tipo SPT e sondagem rotativa em solo e rocha) em municípios do Espírito Santo, para projetos de unidades escolares da Secretaria de Estado da Educação – SEDU.</t>
  </si>
  <si>
    <t>CT  100/2023                 2023-2VL0S</t>
  </si>
  <si>
    <t>2024-8LLKPT</t>
  </si>
  <si>
    <t>REFORMA NA EEEFM ADOLFINA ZAMPROGNO, LOCALIZADA NO MUNICÍPIO DE VILA VELHA/ES, ID CIDADES/TCE-ES:2022.500E0600020.01.0061.</t>
  </si>
  <si>
    <t>CT 26/2023   2022-CCTTGB7</t>
  </si>
  <si>
    <t>2024-6816SD</t>
  </si>
  <si>
    <t>Impressão em gráfica dos cadernos metodológicos elaborados e editorados pela Gerência de Currículo d Educação Básica.</t>
  </si>
  <si>
    <t>2024-57Q3XH</t>
  </si>
  <si>
    <t>Trata-se da locação de imóvel localizado na região central (sede) do Município de São Roque do Canaã/ES, destinado ao funcionamento da EEEFM David Roldi.</t>
  </si>
  <si>
    <t>2024-7FN17V</t>
  </si>
  <si>
    <t>REFORMA E AMPLIAÇÃO NA EEEFM NEA SALLES NUNES PEREIRA, LOCALIZADA NO MUNICÍPIO DE CARIACICA/ES. ID CIDADES/TCE-ES:2022.500E0600020.01.0051.</t>
  </si>
  <si>
    <t>CT 24/2023      2022-0HFGB</t>
  </si>
  <si>
    <t>2024-KZWRLQ</t>
  </si>
  <si>
    <t>Contratação de empresa especializada em engenharia consultiva para a prestação de serviços técnicos profissionais especializados em projetos da Gerencia de Rede Física Escolar (GERFE) compreendendo o desenvolvimento de projetos de reforma, ampliação e construção em que a SEDU seja participante.</t>
  </si>
  <si>
    <t>CT 076/2024
2021-BTBXG</t>
  </si>
  <si>
    <t>2024-TRBCJ1</t>
  </si>
  <si>
    <t>Trata-se de aquisição de terreno adjacente à EEEFM Campinho, localizada no Bairro Campinho da Serra I, no município de Serra/ES, destinado a futura ampliação da unidade escolar.</t>
  </si>
  <si>
    <t>2024-2S7LS3</t>
  </si>
  <si>
    <t>CONSTRUÇÃO DE MURO DE FECHAMENTO E ARRIMO DA EEEFM FRATERNIDADE LUZ, LOCALIZADA NO MUNICÍPIO DE CACHOEIRO DE ITAPEMIRIM/ES. ID: 2023.500E0600020.01.0003</t>
  </si>
  <si>
    <t>CT 29/2023 2022-0FZTP</t>
  </si>
  <si>
    <t>2024-S4GZMW</t>
  </si>
  <si>
    <t>2024-F8L3QK</t>
  </si>
  <si>
    <t>ARCTI</t>
  </si>
  <si>
    <t>Material gráfico para suporte dos eventos oficiais (Imersão e Seminários) e formação continuada. Trata-se de folders informativos, crachás de identificação, pastas, blocos de notas, canetas, botons, ecobags, certificado de participação, banners, camisas e troféus e material de consumo.</t>
  </si>
  <si>
    <t>2024-D4VWSC</t>
  </si>
  <si>
    <t>REFORMA NA EEEFM SERRA SEDE, LOCAZIDA EM SERRA. ID CIDADES/TCE-ES: 2023.500E0600020.01.0051</t>
  </si>
  <si>
    <t>CT 112/2023 2023-KXK3T</t>
  </si>
  <si>
    <t>2024-J3G327</t>
  </si>
  <si>
    <t>RECONSTRUÇÃO DA EEEFM LEANDRO ESCOBAR, LOCALIZADA EM GUARAPARI. ID CIDADES/TCE-ES: 2023.500E0600020.01.0024</t>
  </si>
  <si>
    <t xml:space="preserve">CT 110/2023  2023-CPTBG </t>
  </si>
  <si>
    <t>2024-LSVTRX</t>
  </si>
  <si>
    <t>REFORMA NA EEEFM PEDRA AZUL, LOCALIZADA EM DOMINGOS MARTINS. ID CIDADES /TCE-ES: 2023.500E0600020.01.0010.</t>
  </si>
  <si>
    <t>CT 084/2023  2022-NHQ1V</t>
  </si>
  <si>
    <t>2024-0W8LJH</t>
  </si>
  <si>
    <t>REFORMA E AMPLIAÇÃO DA EEEFM CAMILA MOTTA, LOCALIZADA EM ALFREDO CHAVES. ID CIDADES/TCE-ES: 2023.500E0600020.01.0023</t>
  </si>
  <si>
    <t>CT 075/2023 2023-KF19L</t>
  </si>
  <si>
    <t>2024-2JGSP3</t>
  </si>
  <si>
    <t>REFORMA E AMPLIAÇÃO DA EEEFM ZENÓBIA LEÃO, LOCALIZADA NO MUNICÍPIO DE GUARAPARI/ES. ID CIDADES/TCE-ES: 2023.500E0600020.01.0015.</t>
  </si>
  <si>
    <t>CT 044/2023 2022-Q3BSH</t>
  </si>
  <si>
    <t>2024-MPLZPP</t>
  </si>
  <si>
    <t>Contratação de serviços de limpeza de piscina, para a limpeza do imóvel de propriedade do ESTADO DO ESPÍRITO SANTO.</t>
  </si>
  <si>
    <t>2024-928KZ6</t>
  </si>
  <si>
    <t xml:space="preserve">Contratação de empresas especializadas para atender às necessidades da Secretaria de Estado da Educação para produção e impressão de objetos que serão entregues aos convidados e participantes dos eventos realizados por essa gerência. </t>
  </si>
  <si>
    <t>2024-2WN5CQ</t>
  </si>
  <si>
    <t>Aquisição do material didático Coleção Meu Futuro Melhor: Celebrando a Diversidade Étnico-Racial, para todos os estudantes e professores da Educação Infantil (4 e 5 anos) e do Ensino Fundamental anos iniciais (1º ao 5º ano) das redes públicas estadual e municipais que ofertam essas etapas.</t>
  </si>
  <si>
    <t>2024-6W6NXV</t>
  </si>
  <si>
    <t>REFORMA E AMPLIAÇÃO NA EEEFM VILA REGÊNCIA, LOCALIZADA NO MUNICÍPIO DE LINHARES/ES. ID CIDADES/TCE-ES: 2023.500E0600020.01.0081</t>
  </si>
  <si>
    <t>CT 094/2024 2023-WQF9K</t>
  </si>
  <si>
    <t>2024-P3LKGM</t>
  </si>
  <si>
    <t xml:space="preserve">Contratação de empresa especializada para a organização do evento formativo Formação Inicial do Modelo de Gestão da Educação em Tempo Integral, destinado a diretores, coordenadores pedagógicos e coordenadores administrativos, de secretaria e financeiro das novas escolas implantadas. </t>
  </si>
  <si>
    <t>2024-B59P67</t>
  </si>
  <si>
    <t>Contratação de empresa especializada para a organização do evento formativo "Seminário de Boas Práticas da Educação em Tempo Integral do ES", destinado a 700 profissionais da educação.</t>
  </si>
  <si>
    <t>2024-5T16H3</t>
  </si>
  <si>
    <t>Contratação de empresa especializada para organização do evento formativo "Workshop de Educação Integral em Tempo Integral", destinado a 80 servidores lotados na Sedu.</t>
  </si>
  <si>
    <t>2024-KB24K5</t>
  </si>
  <si>
    <t>GECON</t>
  </si>
  <si>
    <t xml:space="preserve">A demanda consiste na contratação de uma capacitação especializada para formação dos servidores públicos nos processos administrativos que envolvem o “Marco Regulatório das OSC’s - Decreto 11948/2024”. </t>
  </si>
  <si>
    <t>2024-JDNLV9</t>
  </si>
  <si>
    <t>Capacitação em processos administrativos para correta identificação, formalização e execução de emendas parlamentares, conforme novas regulamentações e práticas estabelecidas.</t>
  </si>
  <si>
    <t>2024-F4C4S9</t>
  </si>
  <si>
    <t>GEAD</t>
  </si>
  <si>
    <t>Contratação de empresa especializada para a prestação de serviços administrativos e de suporte de nível operacional e técnico.</t>
  </si>
  <si>
    <t>32. 2175 - MANUTENÇÃO DAS UNIDADES CENTRAL E REGIONAIS, 32. 2354 - MANUTENÇÃO E MODERNIZAÇÃO DOS SERVIÇOS NAS ESCOLAS DE ENSINO FUNDAMENTAL, 32. 2356 - MANUTENÇÃO E MODERNIZAÇÃO DOS SERVIÇOS NAS ESCOLAS DE ENSINO MÉDIO</t>
  </si>
  <si>
    <t>2024-0RZ1BP</t>
  </si>
  <si>
    <t>Contratação de empresa para a desinstalação e instalação de letreiro</t>
  </si>
  <si>
    <t>Serviço</t>
  </si>
  <si>
    <t>2024-X4B9C1</t>
  </si>
  <si>
    <t>Aquisição de aparelhos de micro-ondas tipo industrial de bancada</t>
  </si>
  <si>
    <t>2024-3GFGHT</t>
  </si>
  <si>
    <t>Aquisição de lâmpadas de LED, luminárias de LED tipo paflon, refletores e material elétrico para o atendimento da Secretaria de Estado da Educação-SEDU (unidade central, arquivo e galpão) e Conselho Estadual de Educação-CEE.</t>
  </si>
  <si>
    <t>2024-HVD5NB</t>
  </si>
  <si>
    <t>Aquisição de espelhos com bordas para atendimento da Secretaria de Estado da Educação (SEDU)</t>
  </si>
  <si>
    <t>serviço</t>
  </si>
  <si>
    <t>2024-FQ7MD1</t>
  </si>
  <si>
    <t>Aquisição de apoio para os pés.</t>
  </si>
  <si>
    <t>2024-7MF1WH</t>
  </si>
  <si>
    <t>Aquisição de Equipamentos e Ferramentas</t>
  </si>
  <si>
    <t>2024-89XHCX</t>
  </si>
  <si>
    <t>Contratação de empresa especializada em modernização do auditório.</t>
  </si>
  <si>
    <t>2024-D686FG</t>
  </si>
  <si>
    <t>TAXAS DE COLETA DE RESIDUOS SÓLIDOS E OUTRAS TAXAS. MUNICIPIO  VILA VALERIO</t>
  </si>
  <si>
    <t>2024-FQ639R</t>
  </si>
  <si>
    <t>TAXAS DE COLETA DE RESIDUOS SÓLIDOS E OUTRAS TAXAS. MUNICIPIO ARACRUZ</t>
  </si>
  <si>
    <t>2024-J6JB27</t>
  </si>
  <si>
    <t>TAXAS DE COLETA DE RESIDUOS SÓLIDOS E OUTRAS TAXAS. MUNICIPIO SANTA MARIA DE JETIBÁ</t>
  </si>
  <si>
    <t>2024-2Q1N4N</t>
  </si>
  <si>
    <t>TAXAS DE COLETA DE RESIDUOS SÓLIDOS E OUTRAS TAXAS. MUNICIPIO SÃO ROQUE DO CANAÃ</t>
  </si>
  <si>
    <t>2024-KT5VFJ</t>
  </si>
  <si>
    <t>TAXAS DE COLETA DE RESIDUOS SÓLIDOS E OUTRAS TAXAS. MUNICIPIO DIVINO SÃO LOURENÇO</t>
  </si>
  <si>
    <t>2024-R923P7</t>
  </si>
  <si>
    <t>GEACIQ</t>
  </si>
  <si>
    <t>Contratação de Formação sobre Cinema e Diversidade para ser ofertado a duzentos estudantes da rede estadual.</t>
  </si>
  <si>
    <t>33.2349 - AMPLIAÇÃO E DESENVOLVIMENTO DA EDUCAÇÃO DO CAMPO, INDÍGENA , QUILOMBOLA E DA EDUCAÇÃO PARA AS RELAÇÕES ETNICO RACIAIS</t>
  </si>
  <si>
    <t>2024-3NHTH1</t>
  </si>
  <si>
    <t>GEGEP</t>
  </si>
  <si>
    <t>2024-6X107R</t>
  </si>
  <si>
    <t>2024-GH3B4H</t>
  </si>
  <si>
    <t>2024-PWGP42</t>
  </si>
  <si>
    <t>2024-R7DMZS</t>
  </si>
  <si>
    <t>2024-0G5S7J</t>
  </si>
  <si>
    <t>2024-7HFXTZ</t>
  </si>
  <si>
    <t>2024-C05BSG</t>
  </si>
  <si>
    <t>Contratação da VIAÇÃO SÃO GABRIEL LTDA para fornecimento de vale-transporte aos servidores da Secretaria da Educação em conformidade com a Lei Federal Nº 7.418 de 16 de dezembro de 1985, Lei Estadual Nº 3.981 de 27 de novembro de 1987 e Decreto estadual Nº 2624-N de 29 de fevereiro de 1988.</t>
  </si>
  <si>
    <t>2024-6QM6WB</t>
  </si>
  <si>
    <t>2024-LLHXZ6</t>
  </si>
  <si>
    <t>2024-4FHKNK</t>
  </si>
  <si>
    <t>2024-V4NBB8</t>
  </si>
  <si>
    <t>2024-5FPBQ8</t>
  </si>
  <si>
    <t>2024-640TRB</t>
  </si>
  <si>
    <t>2024-S4CJG8</t>
  </si>
  <si>
    <t>2024-WLNDMS</t>
  </si>
  <si>
    <t>Contratação da VIAÇÃO ÁGUIA BRANCA - SA para fornecimento de vale-transporte aos servidores da Secretaria da Educação em conformidade com a Lei Federal Nº 7.418 de 16 de dezembro de 1985, Lei Estadual Nº 3.981 de 27 de novembro de 1987 e Decreto estadual Nº 2624-N de 29 de fevereiro de 1988.</t>
  </si>
  <si>
    <t>2024-NG83JT</t>
  </si>
  <si>
    <t>2024-9G3H56</t>
  </si>
  <si>
    <t>Contratação do serviço de conservação e restauração</t>
  </si>
  <si>
    <t>2024-710F26</t>
  </si>
  <si>
    <t>Verticalização do galpão utilizado para guarda do mobiliario adquirido para distribuição para as unidades escolares da  Secretaria de Estado da Educação - SEDU.</t>
  </si>
  <si>
    <t>2024-9JNHXM</t>
  </si>
  <si>
    <t>Aquisição de material específico e EPIs a serem utilizados no setor de Arquivo,</t>
  </si>
  <si>
    <t>2024-4PXG4H</t>
  </si>
  <si>
    <t>Verticalização do galpão utilizado para guarda do acervo documental da Secretaria de Estado da Educação - SEDU.</t>
  </si>
  <si>
    <t>2024-ZDTB14</t>
  </si>
  <si>
    <t>Digitalização do acervo documental pertencente à Secretaria de Estado da Educação - SEDU, dentro dos parâmetros estabelecidos pelo Conselho Nacional de Arquivos - CONARQ.</t>
  </si>
  <si>
    <t>2024-KG0FG1</t>
  </si>
  <si>
    <t>Aquisição de gás liquefeito de petróleo – GLP em botijas de 13 (treze) Kg e em cilindros de 45 (quarenta e cinco) Kg, para atender as Secretarias do Estado.</t>
  </si>
  <si>
    <t>2024-13P8C2</t>
  </si>
  <si>
    <t>TAXAS DE COLETA DE RESIDUOS SÓLIDOS E OUTRAS TAXAS. MUNICIPIO IUNA</t>
  </si>
  <si>
    <t>2024-CHS2JR</t>
  </si>
  <si>
    <t>TAXAS DE COLETA DE RESIDUOS SÓLIDOS E OUTRAS TAXAS. MUNICIPIO ECOPORANGA</t>
  </si>
  <si>
    <t>2024-4HCHK8</t>
  </si>
  <si>
    <t>TAXAS DE COLETA DE RESIDUOS SÓLIDOS E OUTRAS TAXAS. MUNICIPIO MUNIZ FREIRE</t>
  </si>
  <si>
    <t>2024-6ZG13S</t>
  </si>
  <si>
    <t>Contratação de instituição especializada para a prestação de serviços de planejamento, elaboração, organização e execução de Concurso Público.</t>
  </si>
  <si>
    <t>Inscrição confirmada</t>
  </si>
  <si>
    <t>A instituição a ser contratada realizará um único Concurso Público para provimento dos cargos vagos.</t>
  </si>
  <si>
    <t>2024-3X5BZH</t>
  </si>
  <si>
    <t>TAXAS DE COLETA DE RESIDUOS SÓLIDOS E OUTRAS TAXAS. MUNICIPIO VARGEM ALTA</t>
  </si>
  <si>
    <t>2024-XDG5K3</t>
  </si>
  <si>
    <t>TAXAS DE COLETA DE RESIDUOS SÓLIDOS E OUTRAS TAXAS. MUNICIPIO BAIXO GUANDU</t>
  </si>
  <si>
    <t>2024-17R7C3</t>
  </si>
  <si>
    <t>TAXAS DE COLETA DE RESIDUOS SÓLIDOS E OUTRAS TAXAS. MUNICIPIO ITARANA</t>
  </si>
  <si>
    <t>2024-BTPG14</t>
  </si>
  <si>
    <t>TAXAS DE COLETA DE RESIDUOS SÓLIDOS E OUTRAS TAXAS. MUNICIPIO BARRA DE SÃO FRANCISCO</t>
  </si>
  <si>
    <t>2024-4CDJD3</t>
  </si>
  <si>
    <t>TAXAS DE COLETA DE RESIDUOS SÓLIDOS E OUTRAS TAXAS. MUNICIPIO SANTA LEOPOLDINA</t>
  </si>
  <si>
    <t>2024-SFX0JG</t>
  </si>
  <si>
    <t>2024-DD7DZH</t>
  </si>
  <si>
    <t>TAXAS DE COLETA DE RESIDUOS SÓLIDOS E OUTRAS TAXAS. MUNICIPIO CACHOEIRO DE ITAPEMIRIM</t>
  </si>
  <si>
    <t>2024-4029X4</t>
  </si>
  <si>
    <t>TAXAS DE COLETA DE RESIDUOS SÓLIDOS E OUTRAS TAXAS. MUNICIPIO JERONIMO MONTEIRO.</t>
  </si>
  <si>
    <t>2024-H6HWT9</t>
  </si>
  <si>
    <t>TAXAS DE COLETA DE RESIDUOS SÓLIDOS E OUTRAS TAXAS. MUNICIPIO  BOA ESPERANÇA</t>
  </si>
  <si>
    <t>2024-ZXRK35</t>
  </si>
  <si>
    <t>TAXAS DE COLETA DE RESIDUOS SÓLIDOS E OUTRAS TAXAS. MUNICIPIO PONTO BELO</t>
  </si>
  <si>
    <t>2024-BHL1WS</t>
  </si>
  <si>
    <t>TAXAS DE COLETA DE RESIDUOS SÓLIDOS E OUTRAS TAXAS. MUNICIPIO MUQUI</t>
  </si>
  <si>
    <t>2024-VJTXNW</t>
  </si>
  <si>
    <t>TAXAS DE COLETA DE RESIDUOS SÓLIDOS E OUTRAS TAXAS. MUNICIPIO MARECHAL FLORIANO</t>
  </si>
  <si>
    <t>2024-1MS703</t>
  </si>
  <si>
    <t>TAXAS DE COLETA DE RESIDUOS SÓLIDOS E OUTRAS TAXAS. MUNICIPIO DOMINGOS MARTINS</t>
  </si>
  <si>
    <t>2024-PTNG0X</t>
  </si>
  <si>
    <t>TAXAS DE COLETA DE RESIDUOS SÓLIDOS E OUTRAS TAXAS. MUNICIPIO  RIOP BANANAL</t>
  </si>
  <si>
    <t>2024-FWJPBB</t>
  </si>
  <si>
    <t>TAXAS DE COLETA DE RESIDUOS SÓLIDOS E OUTRAS TAXAS. MUNICIPIO FUNDÃO</t>
  </si>
  <si>
    <t>2024-8GP839</t>
  </si>
  <si>
    <t>TAXAS DE COLETA DE RESIDUOS SÓLIDOS E OUTRAS TAXAS. MUNICIPIO COLATINA</t>
  </si>
  <si>
    <t>2024-RMJC73</t>
  </si>
  <si>
    <t>TAXAS DE COLETA DE RESIDUOS SÓLIDOS E OUTRAS TAXAS. MUNICIPIO AFONSO CLAUDIO</t>
  </si>
  <si>
    <t>2024-01HZFH</t>
  </si>
  <si>
    <t>Contratação de Empresa Especializada em Confecção de Capa Protetora, Cordão e Roller Clip Personalizados para Cartões de Identificação para os colaboradores da Secretaria de Estado da Educação (SEDU).</t>
  </si>
  <si>
    <t>2024-ZC4Z48</t>
  </si>
  <si>
    <t>TAXAS DE COLETA DE RESIDUOS SÓLIDOS E OUTRAS TAXAS. MUNICIPIO MARILÃNDIA</t>
  </si>
  <si>
    <t>2024-HK8TS5</t>
  </si>
  <si>
    <t>TAXAS DE COLETA DE RESIDUOS SÓLIDOS E OUTRAS TAXAS. MUNICIPIO AGUA DOCE DO NORTE.</t>
  </si>
  <si>
    <t>2024-LDFBBF</t>
  </si>
  <si>
    <t>TAXAS DE COLETA DE RESIDUOS SÓLIDOS E OUTRAS TAXAS. MUNICIPIO ALEGRE</t>
  </si>
  <si>
    <t>2024-R7V5X7</t>
  </si>
  <si>
    <t>TAXAS DE COLETA DE RESIDUOS SÓLIDOS E OUTRAS TAXAS MUNICIPIO DE IBITIRAMA.</t>
  </si>
  <si>
    <t>2024-X4L3XS</t>
  </si>
  <si>
    <t>O presente Projeto tem por objeto Aquisição de Smart tv´s e pedestal para TV´s de 55” a 75” pol. com bandeja de apoio,</t>
  </si>
  <si>
    <t>2024-2HR7NB</t>
  </si>
  <si>
    <t>TAXAS DE COLETA DE RESIDUOS SÓLIDOS E OUTRAS TAXAS. MUNICIPIO BREJETUBA.</t>
  </si>
  <si>
    <t>2024-LNMT8T</t>
  </si>
  <si>
    <t>TAXAS DE COLETA DE RESIDUOS SÓLIDOS E OUTRAS TAXAS. MUNICIPIO  SERRA.</t>
  </si>
  <si>
    <t>2024-W0H5S9</t>
  </si>
  <si>
    <t>TAXAS DE COLETA DE RESIDUOS SÓLIDOS E OUTRAS TAXAS. MUNICIPIO DE VIANA</t>
  </si>
  <si>
    <t>2024-7QR907</t>
  </si>
  <si>
    <t>TAXAS DE COLETA DE RESIDUOS SÓLIDOS E OUTRAS TAXAS. MUNICIPIO DE VILA VELHA.</t>
  </si>
  <si>
    <t>2024-8M250G</t>
  </si>
  <si>
    <t>TAXAS DE COLETA DE RESIDUOS SÓLIDOS E OUTRAS TAXAS. MUNICIPIO MARATAIZES</t>
  </si>
  <si>
    <t>2024-P99N3P</t>
  </si>
  <si>
    <t>TAXAS DE COLETA DE RESIDUOS SÓLIDOS E OUTRAS TAXAS MUNICIPIO DE GUARAPARI.</t>
  </si>
  <si>
    <t>2024-C10MPS</t>
  </si>
  <si>
    <t>TAXAS DE COLETA DE RESIDUOS SÓLIDOS E OUTRAS TAXAS. MUNICIPIO DE VITÓRIA.</t>
  </si>
  <si>
    <t>2024-MKD79S</t>
  </si>
  <si>
    <t>TAXAS DE COLETA DE RESIDUOS SÓLIDOS E OUTRAS TAXAS. MUNICÍPIO DE CARIACICA</t>
  </si>
  <si>
    <t>2024-69L3VH</t>
  </si>
  <si>
    <t>Aquisição de aparelhos telefônicos com fio para o atendimento da Unidade Central da SEDU.</t>
  </si>
  <si>
    <t>2024-C38Q21</t>
  </si>
  <si>
    <t>Contratação de vagas no Pregão Week visando a aprimorar conhecimentos em licitações, conforme a Lei nº 14.133/2021, que regulamenta as licitações e contratos administrativos, promovendo eficiência e transparência nas aquisições públicas.</t>
  </si>
  <si>
    <t>2024-WMS8H6</t>
  </si>
  <si>
    <t xml:space="preserve">A demanda consiste na contratação de um seminário especializado que abordará as 150 questões mais relevantes sobre a Nova Lei de Licitações e Contratos (NLLC), Lei nº 14.133/2021. </t>
  </si>
  <si>
    <t>2024-KW7663</t>
  </si>
  <si>
    <t>Contratação de curso de capacitação em pesquisa de mercado, definição do preço de referência dos processos licitatórios e na negociação na contratação pública em geral, de acordo com as normas legais, jurisprudências do TCU e ferramentas do Portal de Compras Governamentais.</t>
  </si>
  <si>
    <t>2024-S3M5HW</t>
  </si>
  <si>
    <t xml:space="preserve">A demanda consiste na contratação de uma capacitação especializada para formação dos servidores públicos nos processos administrativos que envolvem “A Nova Legislação e Gestão de Convênios”. </t>
  </si>
  <si>
    <t>2024-0MLKD2</t>
  </si>
  <si>
    <t>Contratação de vagas visando a capacitação de servidores sobre a Nova Lei de Licitações e Contratos para o aprofundamento acerca das novas regras contratuais.</t>
  </si>
  <si>
    <t>2024-CHX6CK</t>
  </si>
  <si>
    <t>Contratação de vagas no Congresso Brasileiro de Pregoeiros e Agentes de Contratação visando a capacitação continuada e atualização profissional de servidores sobre a Nova Lei de Licitações e Contratos</t>
  </si>
  <si>
    <t>2024-PCQ0SX</t>
  </si>
  <si>
    <t>Contratação de vagas no Congresso Brasileiro de Compras Públicas visando a eficiência nas compras governamentais.</t>
  </si>
  <si>
    <t>2024-0HK9W3</t>
  </si>
  <si>
    <t xml:space="preserve"> Despesas relativas com serviços de abastecimento de água e esgoto das escolas que integram a Rede Estadual de Ensino, localizadas no município de IBIRAÇU em favor da empresa SERVIÇO AUTÔNOMO DE ÁGUA E ESGOTO – SAAE.</t>
  </si>
  <si>
    <t>2024-LJCV53</t>
  </si>
  <si>
    <t xml:space="preserve">Despesas relativas com serviços de abastecimento de água e esgoto das escolas que integram a Rede Estadual de Ensino, localizadas no município de ITAGUAÇU em favor da empresa SERVIÇO AUTÔNOMO DE ÁGUA E ESGOTO – SAAE.
</t>
  </si>
  <si>
    <t>2024-DLDDD0</t>
  </si>
  <si>
    <t>Prorrogação contratual de empresa especializada na prestação de serviços de limpeza de terreno, com roçagem, capina, locação de caçamba estacionária, recolhimento, transporte e destinação ambientalmente adequada de todo tipo de resíduos sólidos.</t>
  </si>
  <si>
    <t>085/2023 - 2023-W739X</t>
  </si>
  <si>
    <t>2024-T0RQVF</t>
  </si>
  <si>
    <t>Despesas relativas com serviços de abastecimento de água e esgoto das escolas que integram a Rede Estadual de Ensino, localizadas no município de ITAPEMIRIM E MARATAIZES em favor da empresa SERVIÇO AUTÔNOMO DE ÁGUA E ESGOTO – SAAE.</t>
  </si>
  <si>
    <t>2024-9J37DK</t>
  </si>
  <si>
    <t xml:space="preserve">Despesas relativas com serviços de abastecimento de água e esgoto das escolas que integram a Rede Estadual de Ensino, localizadas no município ITARANA em favor da empresa SERVIÇO AUTÔNOMO DE ÁGUA E ESGOTO – SAAE.
</t>
  </si>
  <si>
    <t>2024-8W716X</t>
  </si>
  <si>
    <t>Despesas relativas com serviços de abastecimento de água e esgoto das escolas que integram a Rede Estadual de Ensino, localizadas no município VARGEM ALTA em favor da empresa SERVIÇO AUTÔNOMO DE ÁGUA E ESGOTO – SAAE.</t>
  </si>
  <si>
    <t>2024-BB877T</t>
  </si>
  <si>
    <t xml:space="preserve">Justifica-se a contratação da Empresa SAAE – Serviço Autônomo de Água e Esgoto localizado no Município de JAGUARE, tendo em vista que a concessão no fornecimento de água potável e tratamento de esgoto do citado Munícipio é de exclusividade, ou seja, monopólio, da referida empresa.
</t>
  </si>
  <si>
    <t>2024-8X169Z</t>
  </si>
  <si>
    <t>Despesas relativas com serviços de abastecimento de água e esgoto das escolas que integram a Rede Estadual de Ensino, localizadas no município JERONIMO MONTEIRO em favor da empresa SERVIÇO AUTÔNOMO DE ÁGUA E ESGOTO – SAAE</t>
  </si>
  <si>
    <t>2024-SVXK4C</t>
  </si>
  <si>
    <t>Despesas relativas com serviços de abastecimento de água e esgoto das escolas que integram a Rede Estadual de Ensino, localizadas no município RIO BANANAL em favor da empresa SERVIÇO AUTÔNOMO DE ÁGUA E ESGOTO – SAAE.</t>
  </si>
  <si>
    <t>2024-PK6DXN</t>
  </si>
  <si>
    <t xml:space="preserve"> Despesas relativas com serviços de abastecimento de água e esgoto das escolas que integram a Rede Estadual de Ensino, localizadas no município SÃO DOMINGOS DO NORTE em favor da empresa SERVIÇO AUTÔNOMO DE ÁGUA E ESGOTO – SAAE.</t>
  </si>
  <si>
    <t>2024-GLB9R5</t>
  </si>
  <si>
    <t>Contratação do Instituto Rodrigo Mendes, com vistas ao planejamento, organização, gerenciamento e execução de 1 (um) curso formativo com o tema “Formação Em Educação Especial Na Perspectiva Da Educação Inclusiva”.</t>
  </si>
  <si>
    <t>2024-LNGWDJ</t>
  </si>
  <si>
    <t xml:space="preserve">Despesas relativas com serviços de abastecimento de água e esgoto das escolas que integram a Rede Estadual de Ensino, localizadas no município MIMOSO DO SUL em favor da empresa SERVIÇO AUTÔNOMO DE ÁGUA E ESGOTO – SAAE.
</t>
  </si>
  <si>
    <t>2024-FM2QZ7</t>
  </si>
  <si>
    <t>Trata-se de aquisição de imóvel  localizado na região central (sede) do Município de Venda Nova do Imigrante /ES, destinado  a sede definitiva da EEEFM Fioravante Caliman.</t>
  </si>
  <si>
    <t>2024-GS2XWT</t>
  </si>
  <si>
    <t>Despesas relativas com serviços de abastecimento de água e esgoto das escolas que integram a Rede Estadual de Ensino, localizadas no município MARILÂNDIA em favor da empresa SERVIÇO AUTÔNOMO DE ÁGUA E ESGOTO – SAAE</t>
  </si>
  <si>
    <t>2024-PDT7V7</t>
  </si>
  <si>
    <t>Despesas relativas com serviços de abastecimento de água e esgoto das escolas que integram a Rede Estadual de Ensino, localizadas no município JOÃO NEIVA em favor da empresa SERVIÇO AUTÔNOMO DE ÁGUA E ESGOTO – SAAE.</t>
  </si>
  <si>
    <t>2024-KKMM5H</t>
  </si>
  <si>
    <t xml:space="preserve">Despesas relativas com serviços de abastecimento de água e esgoto das escolas que integram a Rede Estadual de Ensino, localizadas no município SOORETAMA em favor da empresa SERVIÇO AUTÔNOMO DE ÁGUA E ESGOTO – SAAE.
</t>
  </si>
  <si>
    <t>2024-LJBWTN</t>
  </si>
  <si>
    <t xml:space="preserve"> Serviços de fornecimento de ÁGUA para as Unidades Escolares da Rede Pública Estadual e Superintendência Regional de Educação do Estado do Espírito Santo, junto à empresa a Companhia Espírito-santense de Saneamento - CESAN.</t>
  </si>
  <si>
    <t>32.2354 - MANUTENÇÃO E MODERNIZAÇÃO DOS SERVIÇOS NAS ESCOLAS DE ENSINO FUNDAMENTAL, 32.2358 - PROMOÇÃO E REALIZAÇÃO DE INICIATIVAS DE QUALIDADE DE VIDA PARA OS SERVIDORES, 32.2175 - MANUTENÇÃO DAS UNIDADES CENTRAL E REGIONAIS</t>
  </si>
  <si>
    <t>2024-78QX3T</t>
  </si>
  <si>
    <t xml:space="preserve">Referente ao pagamento mensal regular de água da EEEFM José
Zamprogno à Associação de Moradores da Vila Santo Antônio do Quinze (AMVSA XV).
</t>
  </si>
  <si>
    <t>2024-V18X1X</t>
  </si>
  <si>
    <t>Contratação de empresa especializada em combate, controle e erradicação de pragas urbanas.</t>
  </si>
  <si>
    <t>2024-3ZRZSL</t>
  </si>
  <si>
    <t xml:space="preserve">Serviços de fornecimento de energia elétrica para as Unidades Escolares da Rede Pública Estadual e Superintendência Regional de Educação de Colatina, junto à empresa Luz e Força Santa Maria S.A
</t>
  </si>
  <si>
    <t>32.2354 - MANUTENÇÃO E MODERNIZAÇÃO DOS SERVIÇOS NAS ESCOLAS DE ENSINO FUNDAMENTAL, 32.2356 - MANUTENÇÃO E MODERNIZAÇÃO DOS SERVIÇOS NAS ESCOLAS DE ENSINO MÉDIO, 32.2175 - MANUTENÇÃO DAS UNIDADES CENTRAL E REGIONAIS</t>
  </si>
  <si>
    <t>2024-586BFF</t>
  </si>
  <si>
    <t xml:space="preserve">serviços de abastecimento de água e esgoto das escolas que integram a Rede Estadual de Ensino, localizadas no município LINHARES em favor da empresa SERVIÇO
AUTÔNOMO DE ÁGUA E ESGOTO – SAAE.
</t>
  </si>
  <si>
    <t>2024-PB136M</t>
  </si>
  <si>
    <t>serviços de abastecimento de água e esgoto das escolas que integram a Rede Estadual de Ensino, localizadas no município GUAÇUI em favor da empresa SERVIÇO
AUTÔNOMO DE ÁGUA E ESGOTO – SAAE.</t>
  </si>
  <si>
    <t>32.2356 - MANUTENÇÃO E MODERNIZAÇÃO DOS SERVIÇOS NAS ESCOLAS DE ENSINO MÉDIO, 32.2175 - MANUTENÇÃO DAS UNIDADES CENTRAL E REGIONAIS</t>
  </si>
  <si>
    <t>2024-1XMG07</t>
  </si>
  <si>
    <t>Contratação centralizada/corporativa</t>
  </si>
  <si>
    <t>2024-15CL7P</t>
  </si>
  <si>
    <t>Para pagamento referente ao fornecimento de água da EEEFM de Sobradinho em favor da ASSOCIAÇÃO DE MORADORES DO DISTRITO DE SÃO JOSÉ DO SOBRADINHO.</t>
  </si>
  <si>
    <t>2024-K2B4BC</t>
  </si>
  <si>
    <t>Referente ao fornecimento de energia elétrica, empresa EDP  é essencial para que as Unidades Escolares da Rede Pública Estadual, Superintendências Regionais de Educação e Unidades Administrativas.</t>
  </si>
  <si>
    <t>32.2175 - MANUTENÇÃO DAS UNIDADES CENTRAL E REGIONAIS, 32.2354 - MANUTENÇÃO E MODERNIZAÇÃO DOS SERVIÇOS NAS ESCOLAS DE ENSINO FUNDAMENTAL, 32.2356 - MANUTENÇÃO E MODERNIZAÇÃO DOS SERVIÇOS NAS ESCOLAS DE ENSINO MÉDIO</t>
  </si>
  <si>
    <t>2024-GDB2BJ</t>
  </si>
  <si>
    <t>Locação de imóvel, em caráter emergencial, no município de São Roque do Canaã, para acomodação dos alunos do Ensino Médio anteriormente pertencentes à EEFM David Roldi.</t>
  </si>
  <si>
    <t>Contrato 2024.000053.42101.01 Processo: 2024-SG71D</t>
  </si>
  <si>
    <t>2024-71CNT4</t>
  </si>
  <si>
    <t>Aquisição de Carrinhos e transpaleteiras para transporte de carga.</t>
  </si>
  <si>
    <t>2024-D9X6S7</t>
  </si>
  <si>
    <t>Despesas relativas com serviços de abastecimento de água e esgoto das escolas que integram a Rede Estadual de Ensino, localizadas no município de CACHOEIRO DE ITAPEMIRIM em favor da empresa BRK.</t>
  </si>
  <si>
    <t>2024-XT0XHM</t>
  </si>
  <si>
    <t>Despesas relativas com serviços de abastecimento de água e esgoto das Escolas que integram a Rede Estadual de Ensino, localizadas no município de COLATINA-ES em favor da empresa SERVIÇO COLATINENSE DE MEIO AMBIENTE E SANEAMENTO AMBIENTAL-SANEAR</t>
  </si>
  <si>
    <t>2024-H99RRZ</t>
  </si>
  <si>
    <t>Aplicação de película de proteção solar predial, incluindo instalação, remoção de eventual pré-existente e limpeza dos vidros.</t>
  </si>
  <si>
    <t>2024-Q5HS4S</t>
  </si>
  <si>
    <t>Despesas relativas com serviços de abastecimento de água e esgoto das escolas que integram a Rede Estadual de Ensino, localizadas no município SÃO MATEUS em favor da empresa SERVIÇO AUTÔNOMO DE ÁGUA E ESGOTO – SAAE.</t>
  </si>
  <si>
    <t>2024-38P5Z7</t>
  </si>
  <si>
    <t xml:space="preserve">Locação de imóvel localizado no Bairro Chácara Parreiral, Serra/ES, para armazenamento de materiais, bens móveis usados e novos, equipamentos de informática, livros e lotes de bens inservíveis.
</t>
  </si>
  <si>
    <t>32.1450 - MODERNIZAÇÃO, AMPLIAÇÃO E ADEQUAÇÃO DAS UNIDADES ADMINISTRATIVAS, 32.2175 - MANUTENÇÃO DAS UNIDADES CENTRAL E REGIONAIS</t>
  </si>
  <si>
    <t>2024-9TN8TD</t>
  </si>
  <si>
    <t xml:space="preserve">Locação de imóvel para instalação dos acervos do Setor de Arquivo Geral e do Setor de Escola Extinta das Superintendências Regionais de Educação de Carapina, Cariacica, Vila Velha e da Unidade Central da SEDU.
</t>
  </si>
  <si>
    <t>Contrato nº 053/2012  
Processo: 2021-6B9GV</t>
  </si>
  <si>
    <t>2024-46ZZ0M</t>
  </si>
  <si>
    <t xml:space="preserve">Locação de imóvel por meio do Contrato n° 053/2013 para instalação e funcionamento da EEEFM Fioravante Caliman, localizada em Venda Nova do Imigrante/ES.
</t>
  </si>
  <si>
    <t xml:space="preserve">Processo: 2021-Q980B Contrato n° 053/2013 </t>
  </si>
  <si>
    <t>2024-N0C0S3</t>
  </si>
  <si>
    <t>2024-PHGK3V</t>
  </si>
  <si>
    <t>Despesas relativas com serviços de abastecimento de água e esgoto das escolas que integram a Rede Estadual de Ensino, localizadas no município de ICONHA em favor da empresa SERVIÇO AUTÔNOMO DE ÁGUA E ESGOTO – SAAE.</t>
  </si>
  <si>
    <t>2024-Q3THVL</t>
  </si>
  <si>
    <t>Despesas relativas com serviços de abastecimento de água e esgoto das escolas que integram a Rede Estadual de Ensino, localizadas no município de IBITIRAMA em favor da empresa SERVIÇO AUTÔNOMO DE ÁGUA E ESGOTO – SAAE.</t>
  </si>
  <si>
    <t>2024-3598RX</t>
  </si>
  <si>
    <t>Despesas relativas com serviços de abastecimento de água e esgoto das escolas que integram a Rede Estadual de Ensino, localizadas no município de GOV. LINDENBERG em favor da empresa SERVIÇO AUTÔNOMO DE ÁGUA E ESGOTO – SAAE.</t>
  </si>
  <si>
    <t>2024-FN5LNC</t>
  </si>
  <si>
    <t>Despesas relativas com serviços de abastecimento de água e esgoto das escolas que integram a Rede Estadual de Ensino, localizadas no município de BAIXO GUANDU em favor da empresa SERVIÇO AUTÔNOMO DE ÁGUA E ESGOTO – SAAE.</t>
  </si>
  <si>
    <t>2024-F9R67T</t>
  </si>
  <si>
    <t>despesas relativas com serviços de abastecimento de água e esgoto das escolas que integram a Rede Estadual de Ensino, localizadas no município de ARACRUZ-ES em favor da empresa SERVIÇO AUTÔNOMO DE ÁGUA E ESGOTO – SAAE. 772 Peças - 1238 Páginas - 93,29 MB</t>
  </si>
  <si>
    <t>2024-CSV4PC</t>
  </si>
  <si>
    <t>Locação de imóvel para  instalação do Conselho Estadual de Educação – CEE localizado no Edifício Corporate Office, situado à Av. Nossa Senhora dos Navegantes, nº 635 – 7º andar, Enseada do Suá – Vitória/ES.</t>
  </si>
  <si>
    <t xml:space="preserve">Processo: 2021-127Q3 Contrato nº 003/2014 </t>
  </si>
  <si>
    <t>2024-HMD3ML</t>
  </si>
  <si>
    <t xml:space="preserve">Aquisição de material de gênero alimentício (Café, açúcar e adoçante) para atendimento aos servidores das Unidades Administrativas da SEDU  </t>
  </si>
  <si>
    <t>2024-3JSM15</t>
  </si>
  <si>
    <t xml:space="preserve">Despesas relativas com serviços de abastecimento de água e esgoto das escolas que integram a Rede Estadual de Ensino, localizadas no município de ALFREDO CHAVES em favor da empresa SERVIÇO AUTÔNOMO DE ÁGUA E ESGOTO – SAAE.
</t>
  </si>
  <si>
    <t>2024-N8J19V</t>
  </si>
  <si>
    <t>Despesas relativas com serviços de abastecimento de água e esgoto das escolas que integram a Rede Estadual de Ensino, localizadas no município de ALEGRE, em favor da empresa SERVIÇO AUTÔNOMO DE ÁGUA E ESGOTO – SAAE.</t>
  </si>
  <si>
    <t>2024-QCTTS8</t>
  </si>
  <si>
    <t>Contratação de empresa especializada em prestação de serviços de transporte de pessoas e cargas.</t>
  </si>
  <si>
    <t>2024-QR8G2Q</t>
  </si>
  <si>
    <t>2024-QX8M8L</t>
  </si>
  <si>
    <t>EELEVADORES NACIONAL
Processo Nº: 2022-F59MJ
Contratação de serviços de manutenção preventiva e corretiva, com fornecimento de peças e insumos em elevador da marca Nacional, modelo Vector Drive VVVF, para o atendimento da Unidade Central desta Secretaria de Estado da Educação - SEDU.</t>
  </si>
  <si>
    <t>2024-CG60HX</t>
  </si>
  <si>
    <t>Locação de imóvel para instalação e funcionamento da EEEFM Leandro Escobar, sediado na região de Perocão, município de Guarapari/ES, localizado à Rua Tina Mazzelli de Almeida, nº 255, Bairro Jardim Santa Rosa.</t>
  </si>
  <si>
    <t>Contrato nº 031/2023 Processo:  2022–1XXXM</t>
  </si>
  <si>
    <t>2024-PJVQWH</t>
  </si>
  <si>
    <t xml:space="preserve">Locação de imóvel para instalação e funcionamento da EEEF Egídio Bordoni localizado na Rodovia Governador Mário Covas, KM 68,5, São Mateus/ES.
</t>
  </si>
  <si>
    <t>Contrato – nº 017/2017 Processo– 2021–6B3H7</t>
  </si>
  <si>
    <t>2024-DLW450</t>
  </si>
  <si>
    <t>Prestação de serviços de recrutamento, seleção e acompanhamento do estágio remunerado, de estudantes dos cursos de licenciatura plena, oferecidos por Instituições de Ensino Superior, para atuação nas Escolas Públicas Estaduais, totalizando 1000 estagiários, conforme Decreto nº 2563-R/2010.</t>
  </si>
  <si>
    <t>SEAF/GEGEP/SUPET</t>
  </si>
  <si>
    <t>1000 estagiários</t>
  </si>
  <si>
    <t>2024-C5F5V0</t>
  </si>
  <si>
    <t>Locação de imóvel para instalação e funcionamento CEEFMTI Dr. Agesandro da Costa Pereira, localizado na região da grande São Pedro no município de Vitória/ES.</t>
  </si>
  <si>
    <t xml:space="preserve">Processo: 2021-P4C81 Contrato   nº 034/2015 </t>
  </si>
  <si>
    <t>2024-C7C4QP</t>
  </si>
  <si>
    <t xml:space="preserve">Credenciamento de Pessoas Jurídicas devidamente registradas no CREA e/ou CAU/BR, nas atividades de Engenharia e/ou Arquitetura, para a prestação de serviços técnicos profissionais, visando elaboração de laudos de avaliação imobiliária. </t>
  </si>
  <si>
    <t>2024-3MLM8M</t>
  </si>
  <si>
    <t>Registro Geral de Vitória</t>
  </si>
  <si>
    <t>2024-1JF778</t>
  </si>
  <si>
    <t>Considerando que foi firmado o Contrato de Locação de Imóvel nº 071/2023 para o período de 24 (vinte e quatro) meses de locação, iniciando-se em 29/09/2023 com termo final em 29/09/2025, para instalação e funcionamento da Superintendência Regional de Educação de Guaçuí/ES.</t>
  </si>
  <si>
    <t>Contrato: 071/2023  Processo: 2022-Q5XRT</t>
  </si>
  <si>
    <t>2024-H2KVJM</t>
  </si>
  <si>
    <t>Registro Geral de Vila Velha</t>
  </si>
  <si>
    <t>2024-HFG84P</t>
  </si>
  <si>
    <t>Serviços Cartorários para regularização dos imóveis sob a posse da Secretaria de Estado da Educação.</t>
  </si>
  <si>
    <t>Registro Geral de Santa Teresa</t>
  </si>
  <si>
    <t>2024-HK233D</t>
  </si>
  <si>
    <t>Prestação de Serviço de Gerenciamento do Abastecimento de Combustíveis e Manutenção e Mão de Obra da Frota de Veículos Oficiais locados e outros equipamentos pertencentes ao Governo do Estado do Espírito Santo</t>
  </si>
  <si>
    <t>2024-HGM5BM</t>
  </si>
  <si>
    <t>Registro Geral de Santa Leopoldina</t>
  </si>
  <si>
    <t>2024-RQQQD8</t>
  </si>
  <si>
    <t xml:space="preserve">Locação de imóvel para funcionamento da Superintendência Regional de Educação de Cariacica, localizado na região (sede) do município.
</t>
  </si>
  <si>
    <t>Contrato nº 006/2022 Processo: 2021-P682B</t>
  </si>
  <si>
    <t>2024-WKFSZ0</t>
  </si>
  <si>
    <t>Registro Geral de Sooretama</t>
  </si>
  <si>
    <t>2024-HG2XRQ</t>
  </si>
  <si>
    <t>Registro Geral de Serra</t>
  </si>
  <si>
    <t>2024-RN4PPT</t>
  </si>
  <si>
    <t>Registro Geral de Pedro Canário</t>
  </si>
  <si>
    <t>2024-W455GK</t>
  </si>
  <si>
    <t>Registro Geral de Nova Venecia</t>
  </si>
  <si>
    <t>2024-M6R2Q3</t>
  </si>
  <si>
    <t>Registro Geral de Laranja da Terra</t>
  </si>
  <si>
    <t>2024-2FHZV7</t>
  </si>
  <si>
    <t>Locação de imóvel para funcionamento da Superintendência Regional de Educação de Cachoeiro de Itapemirim, localizado na região (sede) do município.</t>
  </si>
  <si>
    <t>Processo 2021-33XFN Contrato nº 090/2012</t>
  </si>
  <si>
    <t>2024-THS74Z</t>
  </si>
  <si>
    <t>Registro Geral de Guarapari</t>
  </si>
  <si>
    <t>2024-MXVDTP</t>
  </si>
  <si>
    <t>Registro Geral de Cariacica</t>
  </si>
  <si>
    <t>2024-4XM573</t>
  </si>
  <si>
    <t>Registro Geral de Cachoeiro de Itapemirim</t>
  </si>
  <si>
    <t>2024-B2CQ9H</t>
  </si>
  <si>
    <t>Registro Geral de Bom Jesus do Norte</t>
  </si>
  <si>
    <t>2024-1PQLH3</t>
  </si>
  <si>
    <t xml:space="preserve">Aquisição de material de expediente para atendimento da SEDU central </t>
  </si>
  <si>
    <t>2024-PGH7D1</t>
  </si>
  <si>
    <t>Trata-se de procedimento administrativo relativo ao Contrato de Locação de Imóvel Urbano nº 010/2015 com finalidade pública de instalação e funcionamento da Superintendência Regional de Educação Cariacica – SRE Cariacica/SEDU, localizado em Campo Grande, Cariacica/ES, conforme à (peça #12).</t>
  </si>
  <si>
    <t>Processo 2021-NKV8V Locação:   010/2015</t>
  </si>
  <si>
    <t>2024-JPFFLM</t>
  </si>
  <si>
    <t xml:space="preserve">Contratação de profissional especializado na prestação de serviço de conservação e restauração da obra em Homenagem ao povo Espírito-santense em comemoração ao 450º aniversário de nascimento do Padre José de Anchieta, </t>
  </si>
  <si>
    <t>2024-XXF3NR</t>
  </si>
  <si>
    <t>Contratação de Serviço Móvel Pessoal (SMP) nas modalidades longa distância nacional e internacional originada de terminais do SMP, por meio de assinaturas mensais
de voz, voz e dados, com ou sem fornecimento de aparelhos de acesso móvel em comodato, SIMcards e sistema de gerenciamento online.</t>
  </si>
  <si>
    <t>2024-KF588J</t>
  </si>
  <si>
    <t>Registro Geral de Aracruz</t>
  </si>
  <si>
    <t>2024-J6Z2NZ</t>
  </si>
  <si>
    <t>2024-33J8HK</t>
  </si>
  <si>
    <t>Locação de imóvel para funcionamento da Superintendência Regional de Educação de Barra de São Francisco, localizado na região (sede) do município, por meio do contrato n° 007/2015, celebrado entre a Secretaria de Estado de Educação e o Sr. Sebastião Honório dos Santos.</t>
  </si>
  <si>
    <t>Processo 2021-JQGJF Contrato n° 007/2015</t>
  </si>
  <si>
    <t>2024-ZKK25G</t>
  </si>
  <si>
    <t>Contratação de Prestação de serviços de telefonia com o objetivo de operacionalizar a rede telefônica corporativa do Governo do Estado do Espírito Santo.</t>
  </si>
  <si>
    <t>2024-P8391L</t>
  </si>
  <si>
    <t>Contratação de empresa especializada na prestação de serviços de agenciamento e fornecimento de passagens aéreas nacionais e internacionais por meio de ferramenta on-line de autoagendamento (self-booking).</t>
  </si>
  <si>
    <t>2024-WWQT6V</t>
  </si>
  <si>
    <t>Locação de imóvel por meio do Contrato nº 100/2015 (peça #3, pag.197 a 206), destinado a instalação e funcionamento da Superintendência Regional de Educação de Afonso Claudio/ES</t>
  </si>
  <si>
    <t>Processo 2021-K3JVL Contrato nº 100/2015</t>
  </si>
  <si>
    <t>2024-253F3T</t>
  </si>
  <si>
    <t>Aquisição de um caminhão novo.</t>
  </si>
  <si>
    <t>2024-FNNGXG</t>
  </si>
  <si>
    <t>Contratação direta da Empresa Brasileira de Correios e Telégrafos, por inexigibilidade de licitação, para prestação de serviços para a Secretaria de Estado da Educação – SEDU.</t>
  </si>
  <si>
    <t>Serviços</t>
  </si>
  <si>
    <t>2024-0N3Z9C</t>
  </si>
  <si>
    <t>Contratação de empresa ou instituição especializada e de ampla experiência para oferta de Formação Continuada em Língua Portuguesa para os profissionais de educação do Ensino Fundamental Anos Finais e todo o ciclo do Ensino Médio.</t>
  </si>
  <si>
    <t>33.6086 - FORMAÇÃO DE PROFESSORES DO ENSINO FUNDAMENTAL, 33.6087 - FORMAÇÃO DOS PROFESSORES DO ENSINO MÉDIO</t>
  </si>
  <si>
    <t>2024-2CKRMB</t>
  </si>
  <si>
    <t>Aquisição de vagas visando a capacitação de servidores em relação a Gestão e a Terceirização de Serviços para o aprofundamento das normas legais e contratuais e de doutrinas no âmbito da Administração Pública.</t>
  </si>
  <si>
    <t>2024-D58FRN</t>
  </si>
  <si>
    <t>Aquisição de 01 inscrição para capacitação de servidor em curso de Sanções Administrativas no que concerne a Gestão de Contratos de Serviços Terceirizados no âmbito da Administração Pública, por especialistas reconhecidos nesta área.</t>
  </si>
  <si>
    <t>2024-XQZ9P5</t>
  </si>
  <si>
    <t>Aquisição de vagas visando a capacitação de servidores sobre a Nova Lei de Licitações e Contratos âmbito da Administração Pública, por especialistas reconhecidos nesta área.</t>
  </si>
  <si>
    <t>2024-8GWMKX</t>
  </si>
  <si>
    <t xml:space="preserve">Realizar Seminário de Compartilhamento de Práticas da Educação Profissional (EPT) Capixaba para 400 coordenadores de curso técnico, supervisores escolares e gestores. </t>
  </si>
  <si>
    <t>32. 2183 - FORMAÇÃO DE TÉCNICOS E GESTORES</t>
  </si>
  <si>
    <t>2024-LLD941</t>
  </si>
  <si>
    <t xml:space="preserve">Realizar Seminário sobre a implementação da reforma Novo Ensino Médio para 400 gestores escolares, supervisores escolares e gestores. </t>
  </si>
  <si>
    <t>2024-RQW1GD</t>
  </si>
  <si>
    <t>Contratação de empresa especializada em planejamento, organização e execução de eventos para fornecimento de local, multimídia, material de apoio, comunicação visual, alimentação e contratação de 2 palestrantes para o desenvolvimento do “I Seminário da Classe Hospitalar do Espírito Santo - 2025”.</t>
  </si>
  <si>
    <t>2024-4L2R4V</t>
  </si>
  <si>
    <t>Contratação de empresa especializada em planejamento, organização, gerenciamento e execução de eventos e contratação de 5 (cinco) palestrantes com qualificação técnica para o desenvolvimento do “II Seminário de Educação Especial na Perspectiva da Educação Inclusiva do Espírito Santo - 2025”.</t>
  </si>
  <si>
    <t>2024-FPP0X1</t>
  </si>
  <si>
    <t>Contratação de empresa especializada em planejamento, organização, gerenciamento e execução de eventos para fornecimento de equipamentos audiovisuais, sonorização e apoio logístico, serviços de locação de espaço físico, alimentação e hospedagem com café da manhã, materiais gráficos.</t>
  </si>
  <si>
    <t>2024-0X2GPG</t>
  </si>
  <si>
    <t>Contratação de serviços especializados de planejamento, oferta e operacionalização de Formação Continuada em Matemática para Professores e Professores Coordenadores de Área, da disciplina de Matemática da rede pública estadual de ensino.</t>
  </si>
  <si>
    <t>2024-BB40W9</t>
  </si>
  <si>
    <t>Contratação de empresa especializada em planejamento, organização, gerenciamento e execução de eventos para fornecimento de equipamentos audiovisuais, sonorização, espaço físico, hospedagem e alimentação realização de duas imersões para 100 profissionais dos NEAPIEs no ano de 2025.</t>
  </si>
  <si>
    <t>33.8668 - PROMOÇÃO DA EDUCAÇÃO ESPECIAL, 33.6086 - FORMAÇÃO DE PROFESSORES DO ENSINO FUNDAMENTAL, 33.6087 - FORMAÇÃO DOS PROFESSORES DO ENSINO MÉDIO</t>
  </si>
  <si>
    <t>2024-H050QG</t>
  </si>
  <si>
    <t>GEA</t>
  </si>
  <si>
    <t>Contratação de empresa especializada para a realização da “FORMAÇÃO SOBRE AVALIAÇÃO”, incluindo serviços alimentares, espaço físico, infraestrutura, recursos materiais, equipamentos de multimídia e apoio técnico para formação de 250  profissionais da educação, a ser realizado em março de 2025.</t>
  </si>
  <si>
    <t>32.2183 - FORMAÇÃO DE TÉCNICOS E GESTORES, 33.6086 - FORMAÇÃO DE PROFESSORES DO ENSINO FUNDAMENTAL, 33.6087 - FORMAÇÃO DOS PROFESSORES DO ENSINO MÉDIO</t>
  </si>
  <si>
    <t>2024-KJB498</t>
  </si>
  <si>
    <t>Contratação de empresa especializada em planejamento, organização, gerenciamento e execução de eventos para o desenvolvimento do  “I Seminário Intersetorial BPC na Escola - 2025” para 400 pessoas, em formato presencial.</t>
  </si>
  <si>
    <t>2024-KW25ZG</t>
  </si>
  <si>
    <t>2024-R5PGTZ</t>
  </si>
  <si>
    <t>AE02</t>
  </si>
  <si>
    <t>Contratação de empresa especializada na prestação de serviços de planejamento, organização, fornecimento e instalação de estruturas, equipamentos, materiais, mão de obra e logística geral para eventos, incluindo locação de espaço físico, sob demanda.</t>
  </si>
  <si>
    <t>2024-B8G4L4</t>
  </si>
  <si>
    <t>GTI</t>
  </si>
  <si>
    <t xml:space="preserve">Aquisição de terminais integrados inteligentes escolas + seguras e conectadas, visando atender as unidades escolares no âmbito pedagógico e de segurança pública.
</t>
  </si>
  <si>
    <t>2024-F71QNT</t>
  </si>
  <si>
    <t>Solução Integrada de Inteligência e Proces. Analítico, fornec. de licenças para análise preditiva, c. de dados e aprendizado de máquina, licenças de software para armazenagem e processamento de dados em big data, implantação, suporte, treinamento e desenvolvimento de soluções analíticas.</t>
  </si>
  <si>
    <t>033/2023 - 2023-RK656</t>
  </si>
  <si>
    <t>2024-R1MQJV</t>
  </si>
  <si>
    <t>Contratação de empresa especializada em Fábrica de Métricas.</t>
  </si>
  <si>
    <t>2024-88FDFM</t>
  </si>
  <si>
    <t xml:space="preserve">Contratação de serviços de fábrica de software que oferece serviço especializado  no desenvolvimento de aplicações e sistemas digitais, visando a construção de softwares em escala para suprir as necessidades da SEDU e Escolas.
</t>
  </si>
  <si>
    <t>2024-24959C</t>
  </si>
  <si>
    <t>Reparo e Manutenção da Solução de Gerenciamento de Climatização do Datacenter da SEDU. Inclui reparos no Sistema de Conversão de Sinais existente, reinstalação e configuração do sistema de automação e monitoramento.</t>
  </si>
  <si>
    <t>2024-TPM521</t>
  </si>
  <si>
    <t>2024-BXTRK5</t>
  </si>
  <si>
    <t>Aquisição de materiais, insumos de informática, periféricos e ferramentas para manutenção de computadores e utilização pelos técnicos responsáveis pelos equipamentos na Sede, SREs e unidades escolares.</t>
  </si>
  <si>
    <t>2024-MGN5MW</t>
  </si>
  <si>
    <t>Aquisição de equipamentos que utilizam a tecnologia de voz sobre IP (VoIP), permitindo que o usuário faça chamadas de voz pela internet de banda larga, ao invés de uma conexão analógica tradicional.</t>
  </si>
  <si>
    <t>2024-B5M0P5</t>
  </si>
  <si>
    <t xml:space="preserve">Aquisição de estabilizadores para Sede e SREs garantindo a certificação de uma tensão segura, para as cargas conectadas, impedindo que oscilações da rede elétrica danifiquem os ativos tecnológicos. 
</t>
  </si>
  <si>
    <t>2024-DFFMXW</t>
  </si>
  <si>
    <t>Aquisição de estação de recarga, utilizada para armazenar, transportar e recarregar os Chromebooks, oferecendo praticidade e segurança.</t>
  </si>
  <si>
    <t>2024-73611C</t>
  </si>
  <si>
    <t>Aquisição de Chromebooks para uso educacional, executando o ChromeOS.</t>
  </si>
  <si>
    <t>2024-NB4J4N</t>
  </si>
  <si>
    <t>Aquisição de computadores desktop para atender as unidades administrativas e escolares da Secretaria de Educação do Estado do ES.</t>
  </si>
  <si>
    <t>2024-T9V99S</t>
  </si>
  <si>
    <t>Contratação de Serviços Especializados de Tecnologia da Informação de Nível 3 por UST para atender a Secretaria de Educação do Estado do Espírito Santo.</t>
  </si>
  <si>
    <t>Unidade de Serviço Técnico</t>
  </si>
  <si>
    <t>2024-1MXT3F</t>
  </si>
  <si>
    <t>Contratação de serviço do Certificado Digital SSL WildCard, com validade de 12 (doze) meses com o objetivo de atender as necessidades da Secretaria de Estado da Educação – SEDU, possibilitando o acesso aos sistemas e serviços que se utilizam dessa forma de identificação, *.sedu.es.gov.br.</t>
  </si>
  <si>
    <t>2024.000167.42101.01 - 2024-9XRMD</t>
  </si>
  <si>
    <t>2024-9XKWT7</t>
  </si>
  <si>
    <t>Plataforma Tecnológica em Cloud Computing (PAAS) com recursos Gestão, Controle, Conectividade Móvel e Cyber Segurança para viabilizar o acesso eficaz de alunos e professores às ferramentas de ensino remoto, conforme projeto básico.</t>
  </si>
  <si>
    <t>088/2023 - 2023-0F5F9</t>
  </si>
  <si>
    <t>Licença</t>
  </si>
  <si>
    <t>2024-8S18LW</t>
  </si>
  <si>
    <t>Contratação de serviços de suporte técnico sob demanda para ambiente de servidores, baseados nas plataformas Microsoft, Linux e Google.</t>
  </si>
  <si>
    <t>146/2022 - 2020-C4D32</t>
  </si>
  <si>
    <t>2024-DVP9CW</t>
  </si>
  <si>
    <t>Contratação de Outsourcing de Impressão para a SEDU-Sede , Superintendências Regionais e Conselho Estadual de Educação</t>
  </si>
  <si>
    <t>2024-QMMDS3</t>
  </si>
  <si>
    <t>Contratação de Outsourcing de Impressão para a SEDU Sede , Superintendências Regionais e Conselho Estadual de Educação.</t>
  </si>
  <si>
    <t>026/2021 - 2021-NB9CM</t>
  </si>
  <si>
    <t>2024-R5XZF7</t>
  </si>
  <si>
    <t>Aquisição de solução wireless geração 6 incluindo switches e pontos de acesso de rede sem fio  para o atendimento das unidades escolares, superintendências regionais e sede administrativa da SEDU.</t>
  </si>
  <si>
    <t>013/2023 - 2023-RZCTB</t>
  </si>
  <si>
    <t>2024-BC6GND</t>
  </si>
  <si>
    <t>Serviços de T.I. compreendendo Fornecimento de Ferramentas de Comun., DEV e/ou Manutenção de Sistemas, Consultoria, Locação e Manutenção de Equipamentos, Serviços de Hospedagem, Armazenamento de dados, Fornecimento de Banda de Internet e Suporte Técnico fornecidas pelo PRODEST.</t>
  </si>
  <si>
    <t>108/2023 - 2023-XGV25</t>
  </si>
  <si>
    <t>2024-VV788R</t>
  </si>
  <si>
    <t>2024-THN3LV</t>
  </si>
  <si>
    <t>Contratação de assinatura para acesso à ferramenta de pesquisas e comparação de preços praticados pela Administração Pública.</t>
  </si>
  <si>
    <t>2024-MS7V0W</t>
  </si>
  <si>
    <t>Contratação de empresa especializada em fornecimento de apólice de seguro com cobertura total.</t>
  </si>
  <si>
    <t>2024-KRJD53</t>
  </si>
  <si>
    <t>Aquisição de LIXEIRAS, com objetivo de atender a Unidade Central, Superintendências e CEE.</t>
  </si>
  <si>
    <t>2024-GLBC8F</t>
  </si>
  <si>
    <t>Contratação de empresa especializada em transporte de pessoas em rotas intermunicipais, interestaduais e na Região da Grande Vitória.</t>
  </si>
  <si>
    <t>2024-0GNQKB</t>
  </si>
  <si>
    <t>Locação de imóvel para funcionamento da Superintendência Regional de Educação (SRE) de Afonso Claudio, que seja localizado na região (sede) do munícipio.</t>
  </si>
  <si>
    <t>2024-S98FPT</t>
  </si>
  <si>
    <t>Contratação de instituição especializada para realização das avaliações externas previstas no Sicaeb, bem como da Avaliação de Monitoramento da Aprendizagem – AMA, envolvendo o planejamento, desenvolvimento, aplicação, análise estatística e disseminação dos resultados das avaliações.</t>
  </si>
  <si>
    <t xml:space="preserve">CONTRATO Nº 2024.000175.42101.01  PROCESO Nº 2024-62HS5 </t>
  </si>
  <si>
    <t xml:space="preserve">2024-N5H95V
</t>
  </si>
  <si>
    <t>GEI</t>
  </si>
  <si>
    <t>33.8651 - MODERNIZAÇÃO
E GESTÃO DA TECNOLOGIA DA INFORMAÇÃO NA EDUCAÇÃO</t>
  </si>
  <si>
    <t>Demanda nova</t>
  </si>
  <si>
    <t>Realizar a contratação de empresa especializada em serviços para avaliação de estágios dos estudantes da rede estadual de educação</t>
  </si>
  <si>
    <t>2024-7M8C5P</t>
  </si>
  <si>
    <t>Nova demanda</t>
  </si>
  <si>
    <t>2024-Q5VXD1</t>
  </si>
  <si>
    <t>Notas de Vitória</t>
  </si>
  <si>
    <t>2024-BC1948</t>
  </si>
  <si>
    <t>Aquisição de material tecnológico para uso em web reunião</t>
  </si>
  <si>
    <t>2024-FXRZ7T</t>
  </si>
  <si>
    <t>33.2703 – MODERNIZAÇÃO E REAPRELHAMENTO DAS ESCOLAS DE ENSINO FUNDAMENTAL, 33.2704 - MODERNIZAÇÃO E REAPARELHAMENTO DAS ESCOLAS DE ENSINO MÉDIO</t>
  </si>
  <si>
    <t>2024-V7GK1C</t>
  </si>
  <si>
    <t>2024-SJ3NWQ</t>
  </si>
  <si>
    <t>2024-DXNRNF</t>
  </si>
  <si>
    <t>Contratação de empresa especializada na prestação de serviço de apoio técnico e assessoramento à Sute, com sistema informatizado em ambiente web e aplicativo mobile, que permita integrar e automatizar as atividades técnicas do setor de transporte escolar.</t>
  </si>
  <si>
    <t>OBRAS - 33.1672 e 33.1673</t>
  </si>
  <si>
    <t>Aquisição de fragmentadora de HD, que será utilizada na Secretaria de Estado da Educação – SEDU</t>
  </si>
  <si>
    <t>G-ABAE</t>
  </si>
  <si>
    <t>extra PCA</t>
  </si>
  <si>
    <t>Extra PCA
Investimento</t>
  </si>
  <si>
    <t>Extra PCA 
Outras Despesas Correntes</t>
  </si>
  <si>
    <t>SAG</t>
  </si>
  <si>
    <t>32.2354 - MANUTENÇÃO E MODERNIZAÇÃO DOS SERVIÇOS NAS ESCOLAS DE ENSINO FUNDAMENTAL, 32.2356 - MANUTENÇÃO E MODERNIZAÇÃO DOS SERVIÇOS NAS ESCOLAS DE ENSINO MÉDIO</t>
  </si>
  <si>
    <t>32.2354 - MANUTENÇÃO E MODERNIZAÇÃO DOS SERVIÇOS NAS ESCOLAS DE ENSINO FUNDAMENTAL, 32.2356 - MANUTENÇÃO E MODERNIZAÇÃO DOS SERVIÇOS NAS ESCOLAS DE ENSINO MÉDIO.</t>
  </si>
  <si>
    <t>32.6684 - ALIMENTAÇÃO ESCOLAR; 32.2354 - MANUTENÇÃO E MODERNIZAÇÃO DOS SERVIÇOS NAS ESCOLAS DE ENSINO FUNDAMENTAL;32.2356 - MANUTENÇÃO E MODERNIZAÇÃO DOS SERVIÇOS NAS ESCOLAS DE ENSINO MÉDIO</t>
  </si>
  <si>
    <t>32.2354 - MANUTENÇÃO E MODERNIZAÇÃO DOS SERVIÇOS NAS ESCOLAS DE ENSINO FUNDAMENTAL             32.2356 - MANUTENÇÃO E MODERNIZAÇÃO DOS SERVIÇOS NAS ESCOLAS DE ENSINO MÉDIO</t>
  </si>
  <si>
    <t>32.2354- MANUTENÇÃO E MODERNIZAÇÃO DOS SERVIÇOS NAS ESCOLAS DE ENSINO FUNDAMENTAL 32.2356 - MANUTENÇÃO E MODERNIZAÇÃO DOS SERVIÇOS NAS ESCOLAS DE ENSINO MÉDIO</t>
  </si>
  <si>
    <t>32.6677 - PROMOÇÃO DE EVENTOS INSTITUCIONAIS, 33.8089 - DESENVOLVIMENTO CURRICULAR,  33.8683 - DESENVOLVIMENTO INTEGRADO DE ESPORTE E CULTURA NAS ESCOLAS,  33.2348 - VALORIZAÇÃO E FORTALECIMENTO DOS PROFISSIONAIS DA EDUCAÇÃO</t>
  </si>
  <si>
    <t>32.2354 - MANUTENÇÃO E MODERNIZAÇÃO DOS SERVIÇOS NAS ESCOLAS DE ENSINO FUNDAMENTAL; 32.2356 - MANUTENÇÃO E MODERNIZAÇÃO DOS SERVIÇOS NAS ESCOLAS DE ENSINO MÉDIO</t>
  </si>
  <si>
    <t>32.2354- MANUTENÇÃO E MODERNIZAÇÃO DOS SERVIÇOS NAS ESCOLAS DE ENSINO FUNDAMENTAL</t>
  </si>
  <si>
    <t>32.2354 - MANUTENÇÃO E MODERNIZAÇÃO DOS SERVIÇOS NAS ESCOLAS DE ENSINO FUNDAMENTAL 32.2356 - MANUTENÇÃO E MODERNIZAÇÃO DOS SERVIÇOS NAS ESCOLAS DE ENSINO MÉDIO,               32.2175 - MANUTENÇÃO DAS UNIDADES CENTRAL E REGIONAIS</t>
  </si>
  <si>
    <t>32.2354 - MANUTENÇÃO E MODERNIZAÇÃO DOS SERVIÇOS NAS ESCOLAS DE ENSINO FUNDAMENTAL  32.2356 - MANUTENÇÃO E MODERNIZAÇÃO DOS SERVIÇOS NAS ESCOLAS DE ENSINO MÉDIO</t>
  </si>
  <si>
    <t>Aquisição de Cafeteira Industrial e garrafas de café (custeio)</t>
  </si>
  <si>
    <t>Aquisição de Cafeteira Industrial e garrafas de café (investimento)</t>
  </si>
  <si>
    <t>Identificador</t>
  </si>
  <si>
    <t>Setor Requisitante (Gerência)</t>
  </si>
  <si>
    <t>Agente de Contratação</t>
  </si>
  <si>
    <t>2025-PCA-SEDU 001</t>
  </si>
  <si>
    <t>2025-PCA-SEDU 002</t>
  </si>
  <si>
    <t>2025-PCA-SEDU 003</t>
  </si>
  <si>
    <t>2025-PCA-SEDU 004</t>
  </si>
  <si>
    <t>2025-PCA-SEDU 005</t>
  </si>
  <si>
    <t>2025-PCA-SEDU 006</t>
  </si>
  <si>
    <t>2025-PCA-SEDU 007</t>
  </si>
  <si>
    <t>2025-PCA-SEDU 008</t>
  </si>
  <si>
    <t>2025-PCA-SEDU 009</t>
  </si>
  <si>
    <t>2025-PCA-SEDU 010</t>
  </si>
  <si>
    <t>2025-PCA-SEDU 011</t>
  </si>
  <si>
    <t>2025-PCA-SEDU 012</t>
  </si>
  <si>
    <t>2025-PCA-SEDU 013</t>
  </si>
  <si>
    <t>2025-PCA-SEDU 014</t>
  </si>
  <si>
    <t>2025-PCA-SEDU 015</t>
  </si>
  <si>
    <t>2025-PCA-SEDU 016</t>
  </si>
  <si>
    <t>2025-PCA-SEDU 017</t>
  </si>
  <si>
    <t>2025-PCA-SEDU 018</t>
  </si>
  <si>
    <t>2025-PCA-SEDU 019</t>
  </si>
  <si>
    <t>2025-PCA-SEDU 020</t>
  </si>
  <si>
    <t>2025-PCA-SEDU 021</t>
  </si>
  <si>
    <t>2025-PCA-SEDU 022</t>
  </si>
  <si>
    <t>2025-PCA-SEDU 023</t>
  </si>
  <si>
    <t>2025-PCA-SEDU 024</t>
  </si>
  <si>
    <t>2025-PCA-SEDU 025</t>
  </si>
  <si>
    <t>2025-PCA-SEDU 026</t>
  </si>
  <si>
    <t>2025-PCA-SEDU 027</t>
  </si>
  <si>
    <t>2025-PCA-SEDU 028</t>
  </si>
  <si>
    <t>2025-PCA-SEDU 029</t>
  </si>
  <si>
    <t>2025-PCA-SEDU 030</t>
  </si>
  <si>
    <t>2025-PCA-SEDU 031</t>
  </si>
  <si>
    <t>2025-PCA-SEDU 032</t>
  </si>
  <si>
    <t>2025-PCA-SEDU 033</t>
  </si>
  <si>
    <t>2025-PCA-SEDU 034</t>
  </si>
  <si>
    <t>2025-PCA-SEDU 035</t>
  </si>
  <si>
    <t>2025-PCA-SEDU 036</t>
  </si>
  <si>
    <t>2025-PCA-SEDU 037</t>
  </si>
  <si>
    <t>2025-PCA-SEDU 038</t>
  </si>
  <si>
    <t>2025-PCA-SEDU 039</t>
  </si>
  <si>
    <t>2025-PCA-SEDU 040</t>
  </si>
  <si>
    <t>2025-PCA-SEDU 041</t>
  </si>
  <si>
    <t>2025-PCA-SEDU 042</t>
  </si>
  <si>
    <t>2025-PCA-SEDU 043</t>
  </si>
  <si>
    <t>2025-PCA-SEDU 044</t>
  </si>
  <si>
    <t>2025-PCA-SEDU 045</t>
  </si>
  <si>
    <t>2025-PCA-SEDU 046</t>
  </si>
  <si>
    <t>2025-PCA-SEDU 047</t>
  </si>
  <si>
    <t>2025-PCA-SEDU 048</t>
  </si>
  <si>
    <t>2025-PCA-SEDU 049</t>
  </si>
  <si>
    <t>2025-PCA-SEDU 050</t>
  </si>
  <si>
    <t>2025-PCA-SEDU 051</t>
  </si>
  <si>
    <t>2025-PCA-SEDU 052</t>
  </si>
  <si>
    <t>2025-PCA-SEDU 053</t>
  </si>
  <si>
    <t>2025-PCA-SEDU 054</t>
  </si>
  <si>
    <t>2025-PCA-SEDU 055</t>
  </si>
  <si>
    <t>2025-PCA-SEDU 056</t>
  </si>
  <si>
    <t>2025-PCA-SEDU 057</t>
  </si>
  <si>
    <t>2025-PCA-SEDU 058</t>
  </si>
  <si>
    <t>2025-PCA-SEDU 059</t>
  </si>
  <si>
    <t>2025-PCA-SEDU 060</t>
  </si>
  <si>
    <t>2025-PCA-SEDU 061</t>
  </si>
  <si>
    <t>2025-PCA-SEDU 062</t>
  </si>
  <si>
    <t>2025-PCA-SEDU 063</t>
  </si>
  <si>
    <t>2025-PCA-SEDU 064</t>
  </si>
  <si>
    <t>2025-PCA-SEDU 065</t>
  </si>
  <si>
    <t>2025-PCA-SEDU 066</t>
  </si>
  <si>
    <t>2025-PCA-SEDU 067</t>
  </si>
  <si>
    <t>2025-PCA-SEDU 068</t>
  </si>
  <si>
    <t>2025-PCA-SEDU 069</t>
  </si>
  <si>
    <t>2025-PCA-SEDU 070</t>
  </si>
  <si>
    <t>2025-PCA-SEDU 071</t>
  </si>
  <si>
    <t>2025-PCA-SEDU 072</t>
  </si>
  <si>
    <t>2025-PCA-SEDU 073</t>
  </si>
  <si>
    <t>2025-PCA-SEDU 074</t>
  </si>
  <si>
    <t>2025-PCA-SEDU 075</t>
  </si>
  <si>
    <t>2025-PCA-SEDU 076</t>
  </si>
  <si>
    <t>2025-PCA-SEDU 077</t>
  </si>
  <si>
    <t>2025-PCA-SEDU 078</t>
  </si>
  <si>
    <t>2025-PCA-SEDU 079</t>
  </si>
  <si>
    <t>2025-PCA-SEDU 080</t>
  </si>
  <si>
    <t>2025-PCA-SEDU 081</t>
  </si>
  <si>
    <t>2025-PCA-SEDU 082</t>
  </si>
  <si>
    <t>2025-PCA-SEDU 083</t>
  </si>
  <si>
    <t>2025-PCA-SEDU 084</t>
  </si>
  <si>
    <t>2025-PCA-SEDU 085</t>
  </si>
  <si>
    <t>2025-PCA-SEDU 086</t>
  </si>
  <si>
    <t>2025-PCA-SEDU 087</t>
  </si>
  <si>
    <t>2025-PCA-SEDU 088</t>
  </si>
  <si>
    <t>2025-PCA-SEDU 089</t>
  </si>
  <si>
    <t>2025-PCA-SEDU 090</t>
  </si>
  <si>
    <t>2025-PCA-SEDU 091</t>
  </si>
  <si>
    <t>2025-PCA-SEDU 092</t>
  </si>
  <si>
    <t>2025-PCA-SEDU 093</t>
  </si>
  <si>
    <t>2025-PCA-SEDU 094</t>
  </si>
  <si>
    <t>2025-PCA-SEDU 095</t>
  </si>
  <si>
    <t>2025-PCA-SEDU 096</t>
  </si>
  <si>
    <t>2025-PCA-SEDU 097</t>
  </si>
  <si>
    <t>2025-PCA-SEDU 098</t>
  </si>
  <si>
    <t>2025-PCA-SEDU 099</t>
  </si>
  <si>
    <t>2025-PCA-SEDU 100</t>
  </si>
  <si>
    <t>2025-PCA-SEDU 101</t>
  </si>
  <si>
    <t>2025-PCA-SEDU 102</t>
  </si>
  <si>
    <t>2025-PCA-SEDU 103</t>
  </si>
  <si>
    <t>2025-PCA-SEDU 104</t>
  </si>
  <si>
    <t>2025-PCA-SEDU 105</t>
  </si>
  <si>
    <t>2025-PCA-SEDU 106</t>
  </si>
  <si>
    <t>2025-PCA-SEDU 107</t>
  </si>
  <si>
    <t>2025-PCA-SEDU 108</t>
  </si>
  <si>
    <t>2025-PCA-SEDU 109</t>
  </si>
  <si>
    <t>2025-PCA-SEDU 110</t>
  </si>
  <si>
    <t>2025-PCA-SEDU 111</t>
  </si>
  <si>
    <t>2025-PCA-SEDU 112</t>
  </si>
  <si>
    <t>2025-PCA-SEDU 113</t>
  </si>
  <si>
    <t>2025-PCA-SEDU 114</t>
  </si>
  <si>
    <t>2025-PCA-SEDU 115</t>
  </si>
  <si>
    <t>2025-PCA-SEDU 116</t>
  </si>
  <si>
    <t>2025-PCA-SEDU 117</t>
  </si>
  <si>
    <t>2025-PCA-SEDU 118</t>
  </si>
  <si>
    <t>2025-PCA-SEDU 119</t>
  </si>
  <si>
    <t>2025-PCA-SEDU 120</t>
  </si>
  <si>
    <t>2025-PCA-SEDU 121</t>
  </si>
  <si>
    <t>2025-PCA-SEDU 122</t>
  </si>
  <si>
    <t>2025-PCA-SEDU 123</t>
  </si>
  <si>
    <t>2025-PCA-SEDU 124</t>
  </si>
  <si>
    <t>2025-PCA-SEDU 125</t>
  </si>
  <si>
    <t>2025-PCA-SEDU 126</t>
  </si>
  <si>
    <t>2025-PCA-SEDU 127</t>
  </si>
  <si>
    <t>2025-PCA-SEDU 128</t>
  </si>
  <si>
    <t>2025-PCA-SEDU 129</t>
  </si>
  <si>
    <t>2025-PCA-SEDU 130</t>
  </si>
  <si>
    <t>2025-PCA-SEDU 131</t>
  </si>
  <si>
    <t>2025-PCA-SEDU 132</t>
  </si>
  <si>
    <t>2025-PCA-SEDU 133</t>
  </si>
  <si>
    <t>2025-PCA-SEDU 134</t>
  </si>
  <si>
    <t>2025-PCA-SEDU 135</t>
  </si>
  <si>
    <t>2025-PCA-SEDU 136</t>
  </si>
  <si>
    <t>2025-PCA-SEDU 137</t>
  </si>
  <si>
    <t>2025-PCA-SEDU 138</t>
  </si>
  <si>
    <t>2025-PCA-SEDU 139</t>
  </si>
  <si>
    <t>2025-PCA-SEDU 140</t>
  </si>
  <si>
    <t>2025-PCA-SEDU 141</t>
  </si>
  <si>
    <t>2025-PCA-SEDU 142</t>
  </si>
  <si>
    <t>2025-PCA-SEDU 143</t>
  </si>
  <si>
    <t>2025-PCA-SEDU 144</t>
  </si>
  <si>
    <t>2025-PCA-SEDU 145</t>
  </si>
  <si>
    <t>2025-PCA-SEDU 146</t>
  </si>
  <si>
    <t>2025-PCA-SEDU 147</t>
  </si>
  <si>
    <t>2025-PCA-SEDU 148</t>
  </si>
  <si>
    <t>2025-PCA-SEDU 149</t>
  </si>
  <si>
    <t>2025-PCA-SEDU 150</t>
  </si>
  <si>
    <t>2025-PCA-SEDU 151</t>
  </si>
  <si>
    <t>2025-PCA-SEDU 152</t>
  </si>
  <si>
    <t>2025-PCA-SEDU 153</t>
  </si>
  <si>
    <t>2025-PCA-SEDU 154</t>
  </si>
  <si>
    <t>2025-PCA-SEDU 155</t>
  </si>
  <si>
    <t>2025-PCA-SEDU 156</t>
  </si>
  <si>
    <t>2025-PCA-SEDU 157</t>
  </si>
  <si>
    <t>2025-PCA-SEDU 158</t>
  </si>
  <si>
    <t>2025-PCA-SEDU 159</t>
  </si>
  <si>
    <t>2025-PCA-SEDU 160</t>
  </si>
  <si>
    <t>2025-PCA-SEDU 161</t>
  </si>
  <si>
    <t>2025-PCA-SEDU 162</t>
  </si>
  <si>
    <t>2025-PCA-SEDU 163</t>
  </si>
  <si>
    <t>2025-PCA-SEDU 164</t>
  </si>
  <si>
    <t>2025-PCA-SEDU 165</t>
  </si>
  <si>
    <t>2025-PCA-SEDU 166</t>
  </si>
  <si>
    <t>2025-PCA-SEDU 167</t>
  </si>
  <si>
    <t>2025-PCA-SEDU 168</t>
  </si>
  <si>
    <t>2025-PCA-SEDU 169</t>
  </si>
  <si>
    <t>2025-PCA-SEDU 170</t>
  </si>
  <si>
    <t>2025-PCA-SEDU 171</t>
  </si>
  <si>
    <t>2025-PCA-SEDU 172</t>
  </si>
  <si>
    <t>2025-PCA-SEDU 173</t>
  </si>
  <si>
    <t>2025-PCA-SEDU 174</t>
  </si>
  <si>
    <t>2025-PCA-SEDU 175</t>
  </si>
  <si>
    <t>2025-PCA-SEDU 176</t>
  </si>
  <si>
    <t>2025-PCA-SEDU 177</t>
  </si>
  <si>
    <t>2025-PCA-SEDU 178</t>
  </si>
  <si>
    <t>2025-PCA-SEDU 179</t>
  </si>
  <si>
    <t>2025-PCA-SEDU 180</t>
  </si>
  <si>
    <t>2025-PCA-SEDU 181</t>
  </si>
  <si>
    <t>2025-PCA-SEDU 182</t>
  </si>
  <si>
    <t>2025-PCA-SEDU 183</t>
  </si>
  <si>
    <t>2025-PCA-SEDU 184</t>
  </si>
  <si>
    <t>2025-PCA-SEDU 185</t>
  </si>
  <si>
    <t>2025-PCA-SEDU 186</t>
  </si>
  <si>
    <t>2025-PCA-SEDU 187</t>
  </si>
  <si>
    <t>2025-PCA-SEDU 188</t>
  </si>
  <si>
    <t>2025-PCA-SEDU 189</t>
  </si>
  <si>
    <t>2025-PCA-SEDU 190</t>
  </si>
  <si>
    <t>2025-PCA-SEDU 191</t>
  </si>
  <si>
    <t>2025-PCA-SEDU 192</t>
  </si>
  <si>
    <t>2025-PCA-SEDU 193</t>
  </si>
  <si>
    <t>2025-PCA-SEDU 194</t>
  </si>
  <si>
    <t>2025-PCA-SEDU 195</t>
  </si>
  <si>
    <t>2025-PCA-SEDU 196</t>
  </si>
  <si>
    <t>2025-PCA-SEDU 197</t>
  </si>
  <si>
    <t>2025-PCA-SEDU 198</t>
  </si>
  <si>
    <t>2025-PCA-SEDU 199</t>
  </si>
  <si>
    <t>2025-PCA-SEDU 200</t>
  </si>
  <si>
    <t>2025-PCA-SEDU 201</t>
  </si>
  <si>
    <t>2025-PCA-SEDU 202</t>
  </si>
  <si>
    <t>2025-PCA-SEDU 203</t>
  </si>
  <si>
    <t>2025-PCA-SEDU 204</t>
  </si>
  <si>
    <t>2025-PCA-SEDU 205</t>
  </si>
  <si>
    <t>2025-PCA-SEDU 206</t>
  </si>
  <si>
    <t>2025-PCA-SEDU 207</t>
  </si>
  <si>
    <t>2025-PCA-SEDU 208</t>
  </si>
  <si>
    <t>2025-PCA-SEDU 209</t>
  </si>
  <si>
    <t>2025-PCA-SEDU 210</t>
  </si>
  <si>
    <t>2025-PCA-SEDU 211</t>
  </si>
  <si>
    <t>2025-PCA-SEDU 212</t>
  </si>
  <si>
    <t>2025-PCA-SEDU 213</t>
  </si>
  <si>
    <t>2025-PCA-SEDU 214</t>
  </si>
  <si>
    <t>2025-PCA-SEDU 215</t>
  </si>
  <si>
    <t>2025-PCA-SEDU 216</t>
  </si>
  <si>
    <t>2025-PCA-SEDU 217</t>
  </si>
  <si>
    <t>2025-PCA-SEDU 218</t>
  </si>
  <si>
    <t>2025-PCA-SEDU 219</t>
  </si>
  <si>
    <t>2025-PCA-SEDU 220</t>
  </si>
  <si>
    <t>2025-PCA-SEDU 221</t>
  </si>
  <si>
    <t>2025-PCA-SEDU 222</t>
  </si>
  <si>
    <t>2025-PCA-SEDU 223</t>
  </si>
  <si>
    <t>2025-PCA-SEDU 224</t>
  </si>
  <si>
    <t>2025-PCA-SEDU 225</t>
  </si>
  <si>
    <t>2025-PCA-SEDU 226</t>
  </si>
  <si>
    <t>2025-PCA-SEDU 227</t>
  </si>
  <si>
    <t>2025-PCA-SEDU 228</t>
  </si>
  <si>
    <t>2025-PCA-SEDU 229</t>
  </si>
  <si>
    <t>2025-PCA-SEDU 230</t>
  </si>
  <si>
    <t>2025-PCA-SEDU 231</t>
  </si>
  <si>
    <t>2025-PCA-SEDU 232</t>
  </si>
  <si>
    <t>2025-PCA-SEDU 233</t>
  </si>
  <si>
    <t>2025-PCA-SEDU 234</t>
  </si>
  <si>
    <t>2025-PCA-SEDU 235</t>
  </si>
  <si>
    <t>2025-PCA-SEDU 236</t>
  </si>
  <si>
    <t>2025-PCA-SEDU 237</t>
  </si>
  <si>
    <t>2025-PCA-SEDU 238</t>
  </si>
  <si>
    <t>2025-PCA-SEDU 239</t>
  </si>
  <si>
    <t>2025-PCA-SEDU 240</t>
  </si>
  <si>
    <t>2025-PCA-SEDU 241</t>
  </si>
  <si>
    <t>2025-PCA-SEDU 242</t>
  </si>
  <si>
    <t>2025-PCA-SEDU 243</t>
  </si>
  <si>
    <t>2025-PCA-SEDU 244</t>
  </si>
  <si>
    <t>2025-PCA-SEDU 245</t>
  </si>
  <si>
    <t>2025-PCA-SEDU 246</t>
  </si>
  <si>
    <t>2025-PCA-SEDU 247</t>
  </si>
  <si>
    <t>2025-PCA-SEDU 248</t>
  </si>
  <si>
    <t>2025-PCA-SEDU 249</t>
  </si>
  <si>
    <t>2025-PCA-SEDU 250</t>
  </si>
  <si>
    <t>2025-PCA-SEDU 251</t>
  </si>
  <si>
    <t>2025-PCA-SEDU 252</t>
  </si>
  <si>
    <t>2025-PCA-SEDU 253</t>
  </si>
  <si>
    <t>2025-PCA-SEDU 254</t>
  </si>
  <si>
    <t>2025-PCA-SEDU 255</t>
  </si>
  <si>
    <t>2025-PCA-SEDU 256</t>
  </si>
  <si>
    <t>2025-PCA-SEDU 257</t>
  </si>
  <si>
    <t>2025-PCA-SEDU 258</t>
  </si>
  <si>
    <t>2025-PCA-SEDU 259</t>
  </si>
  <si>
    <t>2025-PCA-SEDU 260</t>
  </si>
  <si>
    <t>2025-PCA-SEDU 261</t>
  </si>
  <si>
    <t>2025-PCA-SEDU 262</t>
  </si>
  <si>
    <t>2025-PCA-SEDU 263</t>
  </si>
  <si>
    <t>2025-PCA-SEDU 264</t>
  </si>
  <si>
    <t>2025-PCA-SEDU 265</t>
  </si>
  <si>
    <t>2025-PCA-SEDU 266</t>
  </si>
  <si>
    <t>2025-PCA-SEDU 267</t>
  </si>
  <si>
    <t>2025-PCA-SEDU 268</t>
  </si>
  <si>
    <t>2025-PCA-SEDU 269</t>
  </si>
  <si>
    <t>2025-PCA-SEDU 270</t>
  </si>
  <si>
    <t>2025-PCA-SEDU 271</t>
  </si>
  <si>
    <t>2025-PCA-SEDU 272</t>
  </si>
  <si>
    <t>2025-PCA-SEDU 273</t>
  </si>
  <si>
    <t>2025-PCA-SEDU 274</t>
  </si>
  <si>
    <t>2025-PCA-SEDU 275</t>
  </si>
  <si>
    <t>2025-PCA-SEDU 276</t>
  </si>
  <si>
    <t>2025-PCA-SEDU 277</t>
  </si>
  <si>
    <t>2025-PCA-SEDU 278</t>
  </si>
  <si>
    <t>2025-PCA-SEDU 279</t>
  </si>
  <si>
    <t>2025-PCA-SEDU 280</t>
  </si>
  <si>
    <t>2025-PCA-SEDU 281</t>
  </si>
  <si>
    <t>2025-PCA-SEDU 282</t>
  </si>
  <si>
    <t>2025-PCA-SEDU 283</t>
  </si>
  <si>
    <t>2025-PCA-SEDU 284</t>
  </si>
  <si>
    <t>2025-PCA-SEDU 285</t>
  </si>
  <si>
    <t>2025-PCA-SEDU 286</t>
  </si>
  <si>
    <t>2025-PCA-SEDU 287</t>
  </si>
  <si>
    <t>2025-PCA-SEDU 288</t>
  </si>
  <si>
    <t>2025-PCA-SEDU 289</t>
  </si>
  <si>
    <t>2025-PCA-SEDU 290</t>
  </si>
  <si>
    <t>2025-PCA-SEDU 291</t>
  </si>
  <si>
    <t>2025-PCA-SEDU 292</t>
  </si>
  <si>
    <t>2025-PCA-SEDU 293</t>
  </si>
  <si>
    <t>2025-PCA-SEDU 294</t>
  </si>
  <si>
    <t>2025-PCA-SEDU 295</t>
  </si>
  <si>
    <t>2025-PCA-SEDU 296</t>
  </si>
  <si>
    <t>2025-PCA-SEDU 297</t>
  </si>
  <si>
    <t>2025-PCA-SEDU 298</t>
  </si>
  <si>
    <t>2025-PCA-SEDU 299</t>
  </si>
  <si>
    <t>2025-PCA-SEDU 300</t>
  </si>
  <si>
    <t>2025-PCA-SEDU 301</t>
  </si>
  <si>
    <t>2025-PCA-SEDU 302</t>
  </si>
  <si>
    <t>2025-PCA-SEDU 303</t>
  </si>
  <si>
    <t>2025-PCA-SEDU 304</t>
  </si>
  <si>
    <t>2025-PCA-SEDU 305</t>
  </si>
  <si>
    <t>2025-PCA-SEDU 306</t>
  </si>
  <si>
    <t>2025-PCA-SEDU 307</t>
  </si>
  <si>
    <t>2025-PCA-SEDU 308</t>
  </si>
  <si>
    <t>2025-PCA-SEDU 309</t>
  </si>
  <si>
    <t>2025-PCA-SEDU 310</t>
  </si>
  <si>
    <t>2025-PCA-SEDU 311</t>
  </si>
  <si>
    <t>2025-PCA-SEDU 312</t>
  </si>
  <si>
    <t>2025-PCA-SEDU 313</t>
  </si>
  <si>
    <t>2025-PCA-SEDU 314</t>
  </si>
  <si>
    <t>2025-PCA-SEDU 315</t>
  </si>
  <si>
    <t>2025-PCA-SEDU 316</t>
  </si>
  <si>
    <t>2025-PCA-SEDU 317</t>
  </si>
  <si>
    <t>2025-PCA-SEDU 318</t>
  </si>
  <si>
    <t>2025-PCA-SEDU 319</t>
  </si>
  <si>
    <t>2025-PCA-SEDU 320</t>
  </si>
  <si>
    <t>2025-PCA-SEDU 321</t>
  </si>
  <si>
    <t>2025-PCA-SEDU 322</t>
  </si>
  <si>
    <t>2025-PCA-SEDU 323</t>
  </si>
  <si>
    <t>2025-PCA-SEDU 324</t>
  </si>
  <si>
    <t>2025-PCA-SEDU 325</t>
  </si>
  <si>
    <t>2025-PCA-SEDU 326</t>
  </si>
  <si>
    <t>2025-PCA-SEDU 327</t>
  </si>
  <si>
    <t>2025-PCA-SEDU 328</t>
  </si>
  <si>
    <t>2025-PCA-SEDU 329</t>
  </si>
  <si>
    <t>2025-PCA-SEDU 330</t>
  </si>
  <si>
    <t>2025-PCA-SEDU 331</t>
  </si>
  <si>
    <t>2025-PCA-SEDU 332</t>
  </si>
  <si>
    <t>2025-PCA-SEDU 333</t>
  </si>
  <si>
    <t>2025-PCA-SEDU 334</t>
  </si>
  <si>
    <t>2025-PCA-SEDU 335</t>
  </si>
  <si>
    <t>2025-PCA-SEDU 336</t>
  </si>
  <si>
    <t>2025-PCA-SEDU 337</t>
  </si>
  <si>
    <t>2025-PCA-SEDU 338</t>
  </si>
  <si>
    <t>2025-PCA-SEDU 339</t>
  </si>
  <si>
    <t>2025-PCA-SEDU 340</t>
  </si>
  <si>
    <t>2025-PCA-SEDU 341</t>
  </si>
  <si>
    <t>2025-PCA-SEDU 342</t>
  </si>
  <si>
    <t>2025-PCA-SEDU 343</t>
  </si>
  <si>
    <t>2025-PCA-SEDU 344</t>
  </si>
  <si>
    <t>2025-PCA-SEDU 345</t>
  </si>
  <si>
    <t>2025-PCA-SEDU 346</t>
  </si>
  <si>
    <t>2025-PCA-SEDU 347</t>
  </si>
  <si>
    <t>2025-PCA-SEDU 348</t>
  </si>
  <si>
    <t>2025-PCA-SEDU 349</t>
  </si>
  <si>
    <t>2025-PCA-SEDU 350</t>
  </si>
  <si>
    <t>2025-PCA-SEDU 351</t>
  </si>
  <si>
    <t>2025-PCA-SEDU 352</t>
  </si>
  <si>
    <t>2025-PCA-SEDU 353</t>
  </si>
  <si>
    <t>2025-PCA-SEDU 354</t>
  </si>
  <si>
    <t>2025-PCA-SEDU 355</t>
  </si>
  <si>
    <t>2025-PCA-SEDU 356</t>
  </si>
  <si>
    <t>2025-PCA-SEDU 357</t>
  </si>
  <si>
    <t>2025-PCA-SEDU 358</t>
  </si>
  <si>
    <t>2025-PCA-SEDU 359</t>
  </si>
  <si>
    <t>2025-PCA-SEDU 360</t>
  </si>
  <si>
    <t>2025-PCA-SEDU 361</t>
  </si>
  <si>
    <t>2025-PCA-SEDU 362</t>
  </si>
  <si>
    <t>2025-PCA-SEDU 363</t>
  </si>
  <si>
    <t>2025-PCA-SEDU 364</t>
  </si>
  <si>
    <t>2025-PCA-SEDU 365</t>
  </si>
  <si>
    <t>2025-PCA-SEDU 366</t>
  </si>
  <si>
    <t>2025-PCA-SEDU 367</t>
  </si>
  <si>
    <t>2025-PCA-SEDU 368</t>
  </si>
  <si>
    <t>2025-PCA-SEDU 369</t>
  </si>
  <si>
    <t>2025-PCA-SEDU 370</t>
  </si>
  <si>
    <t>2025-PCA-SEDU 371</t>
  </si>
  <si>
    <t>2025-PCA-SEDU 372</t>
  </si>
  <si>
    <t>2025-PCA-SEDU 373</t>
  </si>
  <si>
    <t>2025-PCA-SEDU 374</t>
  </si>
  <si>
    <t>2025-PCA-SEDU 375</t>
  </si>
  <si>
    <t>2025-PCA-SEDU 376</t>
  </si>
  <si>
    <t>2025-PCA-SEDU 377</t>
  </si>
  <si>
    <t>2025-PCA-SEDU 378</t>
  </si>
  <si>
    <t>2025-PCA-SEDU 379</t>
  </si>
  <si>
    <t>2025-PCA-SEDU 380</t>
  </si>
  <si>
    <t>2025-PCA-SEDU 381</t>
  </si>
  <si>
    <t>2025-PCA-SEDU 382</t>
  </si>
  <si>
    <t>2025-PCA-SEDU 383</t>
  </si>
  <si>
    <t>2025-PCA-SEDU 384</t>
  </si>
  <si>
    <t>2025-PCA-SEDU 385</t>
  </si>
  <si>
    <t>2025-PCA-SEDU 386</t>
  </si>
  <si>
    <t>2025-PCA-SEDU 387</t>
  </si>
  <si>
    <t>2025-PCA-SEDU 388</t>
  </si>
  <si>
    <t>2025-PCA-SEDU 389</t>
  </si>
  <si>
    <t>2025-PCA-SEDU 390</t>
  </si>
  <si>
    <t>2025-PCA-SEDU 391</t>
  </si>
  <si>
    <t>2025-PCA-SEDU 392</t>
  </si>
  <si>
    <t>2025-PCA-SEDU 393</t>
  </si>
  <si>
    <t>2025-PCA-SEDU 394</t>
  </si>
  <si>
    <t>2025-PCA-SEDU 395</t>
  </si>
  <si>
    <t>2025-PCA-SEDU 396</t>
  </si>
  <si>
    <t>2025-PCA-SEDU 397</t>
  </si>
  <si>
    <t>2025-PCA-SEDU 398</t>
  </si>
  <si>
    <t>2025-PCA-SEDU 399</t>
  </si>
  <si>
    <t>2025-PCA-SEDU 400</t>
  </si>
  <si>
    <t>2025-PCA-SEDU 401</t>
  </si>
  <si>
    <t>2025-PCA-SEDU 402</t>
  </si>
  <si>
    <t>2025-PCA-SEDU 403</t>
  </si>
  <si>
    <t>2025-PCA-SEDU 404</t>
  </si>
  <si>
    <t>2025-PCA-SEDU 405</t>
  </si>
  <si>
    <t>2025-PCA-SEDU 406</t>
  </si>
  <si>
    <t>2025-PCA-SEDU 407</t>
  </si>
  <si>
    <t>2025-PCA-SEDU 408</t>
  </si>
  <si>
    <t>2025-PCA-SEDU 409</t>
  </si>
  <si>
    <t>2025-PCA-SEDU 410</t>
  </si>
  <si>
    <t>2025-PCA-SEDU 411</t>
  </si>
  <si>
    <t>2025-PCA-SEDU 412</t>
  </si>
  <si>
    <t>2025-PCA-SEDU 413</t>
  </si>
  <si>
    <t>2025-PCA-SEDU 414</t>
  </si>
  <si>
    <t>2025-PCA-SEDU 415</t>
  </si>
  <si>
    <t>2025-PCA-SEDU 416</t>
  </si>
  <si>
    <t>2025-PCA-SEDU 417</t>
  </si>
  <si>
    <t>2025-PCA-SEDU 418</t>
  </si>
  <si>
    <t>2025-PCA-SEDU 419</t>
  </si>
  <si>
    <t>2025-PCA-SEDU 420</t>
  </si>
  <si>
    <t>2025-PCA-SEDU 421</t>
  </si>
  <si>
    <t>2025-PCA-SEDU 422</t>
  </si>
  <si>
    <t>2025-PCA-SEDU 423</t>
  </si>
  <si>
    <t>2025-PCA-SEDU 424</t>
  </si>
  <si>
    <t>2025-PCA-SEDU 425</t>
  </si>
  <si>
    <t>2025-PCA-SEDU 426</t>
  </si>
  <si>
    <t>2025-PCA-SEDU 427</t>
  </si>
  <si>
    <t>2025-PCA-SEDU 428</t>
  </si>
  <si>
    <t>2025-PCA-SEDU 429</t>
  </si>
  <si>
    <t>2025-PCA-SEDU 430</t>
  </si>
  <si>
    <t>2025-PCA-SEDU 431</t>
  </si>
  <si>
    <t>2025-PCA-SEDU 432</t>
  </si>
  <si>
    <t>2025-PCA-SEDU 433</t>
  </si>
  <si>
    <t>2025-PCA-SEDU 434</t>
  </si>
  <si>
    <t>2025-PCA-SEDU 435</t>
  </si>
  <si>
    <t>2025-PCA-SEDU 436</t>
  </si>
  <si>
    <t>2025-PCA-SEDU 437</t>
  </si>
  <si>
    <t>2025-PCA-SEDU 438</t>
  </si>
  <si>
    <t>2025-PCA-SEDU 439</t>
  </si>
  <si>
    <t>2025-PCA-SEDU 440</t>
  </si>
  <si>
    <t>2025-PCA-SEDU 441</t>
  </si>
  <si>
    <t>2025-PCA-SEDU 442</t>
  </si>
  <si>
    <t>2025-PCA-SEDU 443</t>
  </si>
  <si>
    <t>2025-PCA-SEDU 444</t>
  </si>
  <si>
    <t>2025-PCA-SEDU 445</t>
  </si>
  <si>
    <t>2025-PCA-SEDU 446</t>
  </si>
  <si>
    <t>2025-PCA-SEDU 447</t>
  </si>
  <si>
    <t>2025-PCA-SEDU 448</t>
  </si>
  <si>
    <t>2025-PCA-SEDU 449</t>
  </si>
  <si>
    <t>2025-PCA-SEDU 450</t>
  </si>
  <si>
    <t>2025-PCA-SEDU 451</t>
  </si>
  <si>
    <t>2025-PCA-SEDU 452</t>
  </si>
  <si>
    <t>2025-PCA-SEDU 453</t>
  </si>
  <si>
    <t>2025-PCA-SEDU 454</t>
  </si>
  <si>
    <t>2025-PCA-SEDU 455</t>
  </si>
  <si>
    <t>2025-PCA-SEDU 456</t>
  </si>
  <si>
    <t>2025-PCA-SEDU 457</t>
  </si>
  <si>
    <t>2025-PCA-SEDU 458</t>
  </si>
  <si>
    <t>2025-PCA-SEDU 459</t>
  </si>
  <si>
    <t>2025-PCA-SEDU 461</t>
  </si>
  <si>
    <t>2025-PCA-SEDU 463</t>
  </si>
  <si>
    <t>2025-PCA-SEDU 464</t>
  </si>
  <si>
    <t>Multiplos</t>
  </si>
  <si>
    <t>2024-50XB5S</t>
  </si>
  <si>
    <t>Contrato nº 123/2022 / Processo nº 2022-NWX2C</t>
  </si>
  <si>
    <t>Contratação de Empresa Especializada em Prestação de Serviço de Publicação de Matéria Legal em Jornal de Grande Circulação (no Estado do Espírito Santo), para o Atendimento das Demandas da SEDU.</t>
  </si>
  <si>
    <t>Múltiplos</t>
  </si>
  <si>
    <t>2024-CN0MXJ</t>
  </si>
  <si>
    <t>2024-QCM7CJ</t>
  </si>
  <si>
    <t>Aquisição de Equipamentos Audiovisuais</t>
  </si>
  <si>
    <t>Aquisição de Assinaturas de Jornais</t>
  </si>
  <si>
    <t>2024-P86J05</t>
  </si>
  <si>
    <t xml:space="preserve">Aquisição de sinalização - Identidade Visual </t>
  </si>
  <si>
    <t>Ações de Valorização do Servidor - Projeto Qualivida - Aquisição de materiais</t>
  </si>
  <si>
    <t>Contratação de serviços de publicações de atos oficiais no Departamento de Imprensa Oficial do Espírito Santo – DIO/ES</t>
  </si>
  <si>
    <t>Contrato n° 095/2020 - Processo nº 2020-QXCD9</t>
  </si>
  <si>
    <t>Bruna Perini de Matos Oliveira</t>
  </si>
  <si>
    <t>2025-PCA-SEDU 460</t>
  </si>
  <si>
    <t>2025-PCA-SEDU 462</t>
  </si>
  <si>
    <t>Valor estimado para o exercício seguinte (2025)</t>
  </si>
  <si>
    <t>Inexigibilidade - credenciamento</t>
  </si>
  <si>
    <t>Inexigibilidade - monopólio</t>
  </si>
  <si>
    <t>Dispensa de Licitação</t>
  </si>
  <si>
    <t xml:space="preserve">Inexigibilidade </t>
  </si>
  <si>
    <t>Inexigibilidade</t>
  </si>
  <si>
    <t>Imóvel</t>
  </si>
  <si>
    <t>Capacitação</t>
  </si>
  <si>
    <t>Serviços Terceirizados</t>
  </si>
  <si>
    <t>Capacitação de alunos</t>
  </si>
  <si>
    <t>Bens de consumo</t>
  </si>
  <si>
    <t>Material de consumo</t>
  </si>
  <si>
    <t xml:space="preserve">Múltiplos
</t>
  </si>
  <si>
    <t>Serviços Cartorários para regularização fundiária dos imóveis sob a posse da Secretaria de Estado da Educação - Serra/ES</t>
  </si>
  <si>
    <t>Serviços Cartorários para regularização fundiária dos imóveis sob a posse da Secretaria de Estado da Educação - Vila Velha/ES.</t>
  </si>
  <si>
    <t>Serviços Cartorários para regularização fundiária dos imóveis sob a posse da Secretaria de Estado da Educação - Cachoeiro de Itapemirim/ES.</t>
  </si>
  <si>
    <t>Serviços Cartorários para regularização fundiária dos imóveis sob a posse da Secretaria de Estado da Educação - Vitória/ES.</t>
  </si>
  <si>
    <t>Serviços Cartorários para regularização fundiária dos imóveis sob posse da Secretaria de Estado da Educação - Cariacica/ES.</t>
  </si>
  <si>
    <t>Serviços Cartorários para regularização fundiária dos imóveis sob a posse da Secretaria de Estado da Educação - Nova Venécia/ES</t>
  </si>
  <si>
    <t>Serviços Cartorários para regularização fundiária dos imóveis sob a posse da Secretaria de Estado da Educação - Pedro Canário/ES.</t>
  </si>
  <si>
    <t>Serviços Cartorários para regularização fundiária dos imóveis sob posse da Secretaria de Estado da Educação - Aracruz/ES.</t>
  </si>
  <si>
    <t>Serviços Cartorários para regularização fundiária dos imóveis sob a posse da Secretaria de Estado da Educação - Sooretama/ES.</t>
  </si>
  <si>
    <t>Serviços Cartorários para regularização fundiária dos imóveis sob a posse da Secretaria de Estado da Educação - Guarapari/ES.</t>
  </si>
  <si>
    <t>Serviços Cartorários para regularização fundiária dos imóveis sob a posse da Secretaria de Estado de Educação - Laranja da Terra/ES.</t>
  </si>
  <si>
    <t>Serviços Cartorários para regularização dos imóveis sob a posse da Secretaria de Estado da Educação - Santa Teresa/ES.</t>
  </si>
  <si>
    <t>Serviços Cartorários para regularização fundiária dos imóveis sob a posse da Secretaria de Estado da Educação - Santa Leopoldina/ES.</t>
  </si>
  <si>
    <t>Serviço cartorário para regularização fundiária dos imóveis sob posse da Secretaria de Estado da Educação - Bom Jesus do Norte/ES.</t>
  </si>
  <si>
    <t>Classificação do Objeto</t>
  </si>
  <si>
    <t>Material/livro didático</t>
  </si>
  <si>
    <t>Vaga em curso para alunos</t>
  </si>
  <si>
    <t>Sistema/Ferramenta pedagógica</t>
  </si>
  <si>
    <t>Serviços pedagógicos</t>
  </si>
  <si>
    <t>Serviço/Unidade</t>
  </si>
  <si>
    <t>Gêneros alimentícios</t>
  </si>
  <si>
    <t>Inexigibilidade - Agricultura Familiar</t>
  </si>
  <si>
    <t>Transporte Escolar</t>
  </si>
  <si>
    <t>Bens permanentes</t>
  </si>
  <si>
    <t>Obras e Serviços de Engenharia</t>
  </si>
  <si>
    <t>Serviços de Engenharia</t>
  </si>
  <si>
    <t>Serviços Terceirizados associados a aquisição de bens permanentes</t>
  </si>
  <si>
    <t>Transporte servidor</t>
  </si>
  <si>
    <t>Dispensa de Licitação - Vaga em curso técnico</t>
  </si>
  <si>
    <t>Serviços associados à aquisição de bens permanentes</t>
  </si>
  <si>
    <t>Material para eventos</t>
  </si>
  <si>
    <t xml:space="preserve">1
</t>
  </si>
  <si>
    <t xml:space="preserve">Transporte </t>
  </si>
  <si>
    <t>Serviços terceirizados</t>
  </si>
  <si>
    <t>Únidade</t>
  </si>
  <si>
    <t>Seguro</t>
  </si>
  <si>
    <t>Material de expediente e consumo</t>
  </si>
  <si>
    <t>Serviço Terceirizado</t>
  </si>
  <si>
    <t>Contratação de empresa especializada em Planejamento, Organização e Execução de Eventos com locação de espaço e fornecimento de alimentação - capacitação de profissionais do EJA.</t>
  </si>
  <si>
    <t>Eventos</t>
  </si>
  <si>
    <t>Serviços Terceirizados - tecnologia</t>
  </si>
  <si>
    <t>Materiais e insumos - tecnologia</t>
  </si>
  <si>
    <t>Bens permanentes - tecnologia</t>
  </si>
  <si>
    <t>Bens de consumo - tecnologia</t>
  </si>
  <si>
    <t>Mútiplos</t>
  </si>
  <si>
    <t>Bens permanentes - mobiliário</t>
  </si>
  <si>
    <t>Bens permanentes - equipamentos de cozinha e bebedouro</t>
  </si>
  <si>
    <t>Licitação - Sistema de Registro de Preços</t>
  </si>
  <si>
    <t>Licitação - Sistema de Registro de Preços e/ou participação/adesão</t>
  </si>
  <si>
    <t>Serviços Terceirizados - vaga em curso para alunos</t>
  </si>
  <si>
    <t>Adesão a ARP</t>
  </si>
  <si>
    <t>Cláudia Regina da Silva</t>
  </si>
  <si>
    <t>Gestor/Fiscal</t>
  </si>
  <si>
    <t>Felipe Barcelos</t>
  </si>
  <si>
    <t>Christina de Castro Barbosa</t>
  </si>
  <si>
    <t>Serviços Terceirizados - publicação de matéria legal</t>
  </si>
  <si>
    <t>Ivan Costa Loyola</t>
  </si>
  <si>
    <t>Markson Gonçalves Lima</t>
  </si>
  <si>
    <t>CT 004.2023 - COOPCASTELO</t>
  </si>
  <si>
    <t>Amanda De Souza Braga</t>
  </si>
  <si>
    <t>CT 093.2021 - AGUIA TRANSPORTE</t>
  </si>
  <si>
    <t>089.2023 - COOPCASTELO</t>
  </si>
  <si>
    <t>146.2020 - LUZA TRANSPORTE</t>
  </si>
  <si>
    <t>Felipe Tábuas Patrício</t>
  </si>
  <si>
    <t>147.2020 - P.R. TRANSPORTES</t>
  </si>
  <si>
    <t>145.2020 - L.M VOLKERS</t>
  </si>
  <si>
    <t>Patrício Santana de Oliveira</t>
  </si>
  <si>
    <t>CT
067/2022 -  VIAÇÃO SÃO JOÃO LTDA - Processo nº 2022-K09HK</t>
  </si>
  <si>
    <t>149/2020 - VIAÇÃO SÃO GABRIEL LTDA - Processo nº 2020 – K9TNS</t>
  </si>
  <si>
    <t xml:space="preserve">018/2021 - VIAÇÃO JOANA D’ARC S.A  - Processo nº 2021-SG290  </t>
  </si>
  <si>
    <t>CT 109/2022 - Unimar Transportes - Processo nº 2022-VBGV1</t>
  </si>
  <si>
    <t>035/2021 - JOSÉ CARLOS -
2021-BZW3S</t>
  </si>
  <si>
    <t>034.2021 - ALCEBIADES</t>
  </si>
  <si>
    <t>033.2021 - COLTRANS</t>
  </si>
  <si>
    <t>032.2021 - CENTRO OESTE</t>
  </si>
  <si>
    <t>019.2022 - POWER TRANSPORTES</t>
  </si>
  <si>
    <t>064.2021 - BV TRANSPORTE</t>
  </si>
  <si>
    <t>2024.000034.42101.01 - AGUIATUR LTDA</t>
  </si>
  <si>
    <t>063.2021 - P.R TRANSPORTES</t>
  </si>
  <si>
    <t>2024.000025.42101.01 - VIEIRA CABRAL</t>
  </si>
  <si>
    <t>048.2021 - UNIAO SUDESTE</t>
  </si>
  <si>
    <t>2024.000024.42101.01 - COLTRANS</t>
  </si>
  <si>
    <t>038.2021 - P.R TRANSPORTES</t>
  </si>
  <si>
    <t>160.2022 - OMEGA</t>
  </si>
  <si>
    <t>088.2021 - OMEGA</t>
  </si>
  <si>
    <t>036.2021 - VIERA CABRAL</t>
  </si>
  <si>
    <t>013.2022 - TRANSVEL</t>
  </si>
  <si>
    <t>Contrato Nº 017/2023
2024-GSV82
2024-</t>
  </si>
  <si>
    <t xml:space="preserve">Wanderley Lopes Sebastião </t>
  </si>
  <si>
    <t>Ana Paula Silva Bobbio</t>
  </si>
  <si>
    <t>Ingrid Rubia Reis Zanetti</t>
  </si>
  <si>
    <t>Contratação de serviço tecnológicos de monitoramento da gestão escolar, compreendendo a disponibilização, a implementação, a manutenção e as realizações de melhorias de um sistema de informação digital para a administração e o controle das informações escolares.</t>
  </si>
  <si>
    <t>Contrato 034/2023 - APPOLUS TECNOLOGIA LTDA 2022-ZH3SD</t>
  </si>
  <si>
    <t>Anderson Barcelos Pereira</t>
  </si>
  <si>
    <t>Luis Antonio de Mattos Silva</t>
  </si>
  <si>
    <t>Marcos Roberto Machado/Josely Ferreira Bittencourt</t>
  </si>
  <si>
    <t>Luciléia Gilles</t>
  </si>
  <si>
    <t>Rodrigo Nascimento de Oliveira</t>
  </si>
  <si>
    <t>Daniela Lima Macchione/Korine Cardoso Santana</t>
  </si>
  <si>
    <t>Vaga</t>
  </si>
  <si>
    <t>Leonardo de Amorim Casotti</t>
  </si>
  <si>
    <t>Mirian Carla Soares Bittencourt</t>
  </si>
  <si>
    <t>Beatriz Reis Lyra</t>
  </si>
  <si>
    <t>Vinícius Bolzan Cade</t>
  </si>
  <si>
    <t>CT 110/2022
2020-J9F7R</t>
  </si>
  <si>
    <t>Tayane Eduardo dos Santos Alves</t>
  </si>
  <si>
    <t>Luiz Julio Romanelli Azevedo Menini</t>
  </si>
  <si>
    <t>Leonardo Lecco Loureiro</t>
  </si>
  <si>
    <t>Pedro Artur Fernandes Lino Andrade</t>
  </si>
  <si>
    <t>Taiane Quintas Sarmento</t>
  </si>
  <si>
    <t>Trata-se da contratação de empresa através de formalização de registro de preços visando a Aquisição de aparelhos de ar-condicionado para climatização das unidades escolares e administrativas da secretaria da educação (Sedu).</t>
  </si>
  <si>
    <t>OBRA DE REFORMA E AMPLIAÇÃO NA EEEF JUDITH LEÃO CASTELLO RIBEIRO, LOCALIZADA NO MUNICÍPIO DE SERRA/ES. ID CidadES/TCE-ES: 2022.500E0600020.01.0022. CT 130/2022-SEDU</t>
  </si>
  <si>
    <t>Wilson da Silva Athaydes Filho</t>
  </si>
  <si>
    <t>Daniel Marques Trindade</t>
  </si>
  <si>
    <t>Bruno Viana de Sá</t>
  </si>
  <si>
    <t>Talles Werner Paiva</t>
  </si>
  <si>
    <t>Hyane Cananita Gomes da Silva Moraes</t>
  </si>
  <si>
    <t>Felippe de Abreu</t>
  </si>
  <si>
    <t>Romário Nogueira de Souza</t>
  </si>
  <si>
    <t>Michael Merlo</t>
  </si>
  <si>
    <t>Marcos Antonio Pereira</t>
  </si>
  <si>
    <t>093/2022 - 2022-FW9GH</t>
  </si>
  <si>
    <t>Sirlene dos Santos Pereira</t>
  </si>
  <si>
    <t>Matheus Donna Volponi</t>
  </si>
  <si>
    <t>CT 030/2023 - 2023-T9M5P</t>
  </si>
  <si>
    <t>CT 037/2023 - 2023-ZNCZR</t>
  </si>
  <si>
    <t>Bianca Alves de Oliveira/Nícia de Souza Pereira</t>
  </si>
  <si>
    <t>Matheus Donna Volponi
Rodrigo Gonçalves e Silva
Bianca Alves de Oliveira
Livia Orlandi Abrantes
Sergiani Brito Frassi
Nícia de Souza Pereira</t>
  </si>
  <si>
    <t>CT 078/2023 - 2023-K5SS4</t>
  </si>
  <si>
    <t>CT 109/2023 - 2023-ZPJX2</t>
  </si>
  <si>
    <t>Bianca Alves de Oliveira/Sergiani Brito Frassi</t>
  </si>
  <si>
    <t>2024.000089.42101.01 - 2024-GM639</t>
  </si>
  <si>
    <t>Bianca Alves de Oliveira/Livia Orlandi Abrantes</t>
  </si>
  <si>
    <t>Manutenção Predial - SEDU SEDE</t>
  </si>
  <si>
    <t>2024.000155.42101.01 - 2023-G2W1W</t>
  </si>
  <si>
    <t>Matheus Donna Volponi/Marcelo Amorim Gonçalves/Tayane Eduardo dos Santos Alves/Anderson Loureiro Gaygher/Mariana Cezar Gonçalves/Rafael Aranha de Oliveira/Luiz Fernando Astolpho/Andressa Evangelista Guimarães Ferro</t>
  </si>
  <si>
    <t>Cely Pinheiro Gava</t>
  </si>
  <si>
    <t>Contrato nº. 117/2010
Processo nº. 2021-6Z2XP</t>
  </si>
  <si>
    <t>Glaucemir Cavachini Samora</t>
  </si>
  <si>
    <t>143/2022 - Processo 2022-F59MJ</t>
  </si>
  <si>
    <t>Luiz Fernando Astolpho</t>
  </si>
  <si>
    <t>129/2022 - Processo 2022-5RWBF</t>
  </si>
  <si>
    <t>145/2022 - Processo 2022-B01W6</t>
  </si>
  <si>
    <t>Contratação de empresa  prestadora de servíços contínuos de limpeza e conservação predial, bem como serviços de desinfecção de reservatórios de água potável (caixa dágua e cisterna), inclusive com fornecimento de materiais de consumo (exceto materiais de higiene pessoal) e equipamentos de limpeza, para manutenção nas dependências internas e externas das unidades escolares e administrativas da Sedu - REGIÃO I - Contrato 043/2023</t>
  </si>
  <si>
    <t>Serviços Terceirizados - DEMO</t>
  </si>
  <si>
    <t>Contratação de empresa  prestadora de servíços contínuos de limpeza e conservação predial, bem como serviços de desinfecção de reservatórios de água potável (caixa dágua e cisterna), inclusive com fornecimento de materiais de consumo (exceto materiais de higiene pessoal) e equipamentos de limpeza, para manutenção nas dependências internas e externas das unidades escolares e administrativas da Sedu - REGIÃO II. Contrato 011/2023.</t>
  </si>
  <si>
    <t>Contratação de empresa  prestadora de servíços contínuos de limpeza e conservação predial, bem como serviços de desinfecção de reservatórios de água potável (caixa dágua e cisterna), inclusive com fornecimento de materiais de consumo (exceto materiais de higiene pessoal) e equipamentos de limpeza, para manutenção nas dependências internas e externas das unidades escolares e administrativas da Sedu - REGIÃO III. Contrato 017/2023.</t>
  </si>
  <si>
    <t>Contratação de empresa  prestadora de servíços contínuos de limpeza e conservação predial, bem como serviços de desinfecção de reservatórios de água potável (caixa dágua e cisterna), inclusive com fornecimento de materiais de consumo (exceto materiais de higiene pessoal) e equipamentos de limpeza, para manutenção nas dependências internas e externas das unidades escolares e administrativas da Sedu - REGIÃO IV. Contrato 042/2021</t>
  </si>
  <si>
    <t>Contratação de Empresa especializada para prestação de Serviços de Vigilância Patrimonial nas dependências internas e externas da Secretaria de Educação, Unidades Escolares e Superintendências. REGIÃO IV. Contrato 012/2023</t>
  </si>
  <si>
    <t>Contratação de empresa  prestadora de servíços contínuos de limpeza e conservação predial, bem como serviços de desinfecção de reservatórios de água potável (caixa dágua e cisterna), inclusive com fornecimento de materiais de consumo (exceto materiais de higiene pessoal) e equipamentos de limpeza, para manutenção nas dependências internas e externas das unidades escolares e administrativas da Sedu - REGIÃO V. Contrato 001/2020</t>
  </si>
  <si>
    <t>Contratação de Empresa especializada para prestação de Serviços de Vigilância Patrimonial nas dependências internas e externas da Secretaria de Educação, Unidades Escolares e Superintendências. REGIÃO I. Contrato 010/2023.</t>
  </si>
  <si>
    <t>Contratação de Empresa especializada para prestação de Serviços de Vigilância Patrimonial nas dependências internas e externas da Secretaria de Educação, Unidades Escolares e Superintendências. REGIÃO V. Contrato 081/2021</t>
  </si>
  <si>
    <t>Contratação de Empresa especializada para prestação de Serviços de Vigilância Patrimonial nas dependências internas e externas da Secretaria de Educação, Unidades Escolares e Superintendências. REGIÃO III. Contrato 171/2022</t>
  </si>
  <si>
    <t xml:space="preserve">Contratação de Empresa especializada para prestação de Serviços de Vigilância Patrimonial nas dependências internas e externas da Secretaria de Educação, Unidades Escolares e Superintendências. REGIÃO II. </t>
  </si>
  <si>
    <t>Daniel José dos Santos Junior</t>
  </si>
  <si>
    <t>Lucimar Tozetti Batista</t>
  </si>
  <si>
    <t>Jéssica Tesch Gonçalves</t>
  </si>
  <si>
    <t>Thaiz Oliveira Martins</t>
  </si>
  <si>
    <t>COMISSÃO DE CONTRATAÇÃO</t>
  </si>
  <si>
    <t>Izaura da Conceição Malverdi Barboza</t>
  </si>
  <si>
    <t xml:space="preserve"> Jamile Borges de Mattos</t>
  </si>
  <si>
    <t>Jamile Borges de Mattos</t>
  </si>
  <si>
    <t>SEGER</t>
  </si>
  <si>
    <t>32.2358 - PROMOÇÃO E REALIZAÇÃO DE INICIATIVAS DE QUALIDADE DE VIDA PARA OS SERVIDORES</t>
  </si>
  <si>
    <t>32.2006 - REMUNERAÇÃO DOS PROFISSIONAIS TÉCNICOS: ADMINISTRATIVOS E PEDAGÓGICOS DAS UNIDADES CENTRAL E REGIONAIS E OUTROS</t>
  </si>
  <si>
    <t>Contratação de empresa especializada na prestação de serviços de recarga em extintores de incêndio.</t>
  </si>
  <si>
    <t>Inexigibilidade - restauração de obras de arte</t>
  </si>
  <si>
    <t>DER</t>
  </si>
  <si>
    <t>Trata-se da contratação de obra e serviços de engenharia, em razão da definição do art. 6º, incisos XII e XXI, a, da Lei Federal nº 14.133/2021, referente à demolição, construção de muro, limpeza e regularização de terrenos pertencentes a Sedu, localizada em Vila Velha /ES.</t>
  </si>
  <si>
    <t>Trata-se da contratação de obra e serviços de engenharia, em razão da definição do art. 6º, incisos XII e XXI, a, da Lei Federal nº 14.133/2021, referente para Reconstrução da EEEFM Manoel Rozindo da Silva, localizada no município de Guarapari/ES.</t>
  </si>
  <si>
    <t>Trata-se da contratação de obra e serviços de engenharia, em razão da definição do art. 6º, incisos XII e XXI, a, da Lei Federal nº 14.133/2021, referente a Manutenção na EEEFM Domingos José Martins, localizada em Marataízes/ES.</t>
  </si>
  <si>
    <t xml:space="preserve">Unidade </t>
  </si>
  <si>
    <t>Excluir</t>
  </si>
  <si>
    <t>Contratação de empresa especializada em Fábrica de Software</t>
  </si>
  <si>
    <t>GOVERNO DO ESTADO DO ESPÍRITO SANTO
SECRETARIA DE ESTADO DA EDUCAÇÃO</t>
  </si>
  <si>
    <t>Contratação de empresa Especializada em Serviço de Videomonitoramento Remoto 24 horas por dia, 7 dias da semana, ininterruptamente durante a vigência do contrato com fornecimento de material, instalação e manutenção inclusos para a Sede da Secretaria de Estado da Educação do Espírito Santo.</t>
  </si>
  <si>
    <t>32. 2356 - MANUTENÇÃO E MODERNIZAÇÃO DOS SERVIÇOS NAS ESCOLAS DE ENSINO MÉDIO;
32. 2354 - MANUTENÇÃO E MODERNIZAÇÃO DOS SERVIÇOS NAS ESCOLAS DE ENSINO FUNDAMENTAL;
32. 2175 - MANUTENÇÃO DAS UNIDADES CENTRAL E REGIONAIS</t>
  </si>
  <si>
    <t>Trata-se de Registro de Preços para eventual futura aquisição de equipamentos de cozinha e bebedouro, objetivando o aparelhamento das escolas de ensino fundamental e médio da rede estadual de ensino.</t>
  </si>
  <si>
    <t>Trata-se de Registro de Preços para futura e eventual aquisição de mobiliário escolar, objetivando o aparelhamento das escolas de ensino fundamental e médio da rede estadual de ensino.</t>
  </si>
  <si>
    <t>Contratação do SENAC para oferta de até 925 vagas em cursos técnicos de nível médio, na forma concomitante, distribuídas em 08 unidades do SENAC, para estudantes matriculados na 1ª e 2ª séries do ensino médio em escolas públicas estaduais do Espírito Santo.</t>
  </si>
  <si>
    <t>Locação de imóvel para funcionamento da Superintendência Regional de Educação (SRE) de Linhares, que seja localizado na região (sede) do município, que contemple no mínimo os ambientes essenciais  apresentados e especificados no Estudo Técnico Preliminar – ETP.</t>
  </si>
  <si>
    <t>Trata-se de aquisição de terreno localizado na região de Campo Grande do Município de Cariacica/ES, destinado construção de edificação para instalação de unidade escolar.</t>
  </si>
  <si>
    <t>Trata-se da locação de imóvel localizado na região de Campo Grande e entorno, no Município de Cariacica/ES, destinado ao funcionamento de uma unidade escolar da rede estadual para o ensino médio.</t>
  </si>
  <si>
    <t>Aquisição de material de Higiene (Sabonete Liquido e Álcool em Gel) para atendimento aos servidores e visitantes das Unidades Administrativas da SEDU.</t>
  </si>
  <si>
    <t>Trata-se de contratação de empresa especializada no fornecimento parcelado de carimbos de madeira, carimbos automáticos, refis e tinta.</t>
  </si>
  <si>
    <t>Trata-se da contratação de obra e serviços de engenharia, em razão da definição do art. 6º, incisos XII e XXI, a, da Lei Federal nº 14.133/2021, referente a Reconstrução do Castelo D’água e Climatização da CEEMFT Bernardo Horta, localizada em Irupí/ES.</t>
  </si>
  <si>
    <t>Trata-se da contratação de obra e serviços de engenharia, em razão da definição do art. 6º, incisos XII e XXI, a, da Lei Federal nº 14.133/2021, referente a Reconstrução do Castelo D’água da EEEF Graúna, localizada em Itapemirim/ES.</t>
  </si>
  <si>
    <t>Trata-se da contratação de obra e serviços de engenharia, em razão da definição do art. 6º, incisos XII e XXI, a, da Lei Federal nº 14.133/2021, referente a reconstrução do castelo d’água da CEEMTI Henrique Coutinho, localizada em Iúna/ES.</t>
  </si>
  <si>
    <t>Contratação de empresa especializada em solução tecnológica por Rádio Frequência (RFID), envolvendo coletores de dados móveis com Etiquetas/Tags para superfície metálicas e não metálicas, para rastreamento e gerenciamento do acervo patrimonial das Unidades Administrativas e Escolares da SEDU.</t>
  </si>
  <si>
    <t>O presente tem por objeto a contratação de empresa  prestadora de servíços contínuos de limpeza e conservação predial, bem como serviços de desinfecção de reservatórios de água potável (caixa dágua e cisterna), inclusive com fornecimento de materiais de consumo (exceto materiais de higiene pessoal) e equipamentos de limpeza, para manutenção nas dependências internas e externas das unidades escolares e administrativas da Sedu - Região V.</t>
  </si>
  <si>
    <t>Contratação de serviço de controle de acesso automatizado ao CPD em que os acessos serão registrados em um software e banco de dados desenvolvidos para este fim.</t>
  </si>
  <si>
    <t>Contratação da GVBUS para fornecimento de vale-transporte aos servidores da Secretaria da Educação em conformidade com a Lei Federal Nº 7.418 de 16 de dezembro de 1985, Lei Estadual Nº 3.981 de 27 de novembro de 1987 e Decreto estadual Nº 2624-N de 29 de fevereiro de 1988.</t>
  </si>
  <si>
    <t>Contratação da CONSORCIO CACHOEIRO INTEGRADO para fornecimento de vale-transporte aos servidores da Secretaria da Educação em conformidade com a Lei Federal Nº 7.418 de 16 de dezembro de 1985, Lei Estadual Nº 3.981 de 27 de novembro de 1987 e Decreto estadual Nº 2624-N de 29 de fevereiro de 1988.</t>
  </si>
  <si>
    <t>Contratação da CORDIAL TRANSPORTES E TURISMO para fornecimento de vale-transporte aos servidores da Secretaria da Educação em conformidade com a Lei Federal Nº 7.418 de 16 de dezembro de 1985, Lei Estadual Nº 3.981 de 27 de novembro de 1987 e Decreto estadual Nº 2624-N de 29 de fevereiro de 1988.</t>
  </si>
  <si>
    <t>Contratação da VIAÇÃO REAL ITA LIMITADA para fornecimento de vale-transporte aos servidores da Secretaria da Educação em conformidade com a Lei Federal Nº 7.418 de 16 de dezembro de 1985, Lei Estadual Nº 3.981 de 27 de novembro de 1987 e Decreto estadual Nº 2624-N de 29 de fevereiro de 1988.</t>
  </si>
  <si>
    <t>Contratação da VIAÇÃO JOANA D’ ARC S/A para fornecimento de vale-transporte aos servidores da Secretaria da Educação em conformidade com a Lei Federal Nº 7.418 de 16 de dezembro de 1985, Lei Estadual Nº 3.981 de 27 de novembro de 1987 e Decreto estadual Nº 2624-N de 29 de fevereiro de 1988.</t>
  </si>
  <si>
    <t>Contratação da VIAÇÃO PLANETA para fornecimento de vale-transporte aos servidores da Secretaria da Educação em conformidade com a Lei Federal Nº 7.418 de 16 de dezembro de 1985, Lei Estadual Nº 3.981 de 27 de novembro de 1987 e Decreto estadual Nº 2624-N de 29 de fevereiro de 1988.</t>
  </si>
  <si>
    <t>Contratação da CONSORCIO NOROESTE CAPIXABA para fornecimento de vale-transporte aos servidores da Secretaria da Educação em conformidade com a Lei Federal Nº 7.418 de 16 de dezembro de 1985, Lei Estadual Nº 3.981 de 27 de novembro de 1987 e Decreto estadual Nº 2624-N de 29 de fevereiro de 1988.</t>
  </si>
  <si>
    <t>Contratação da C LORENZUTTI LTDA para fornecimento de vale-transporte aos servidores da Secretaria da Educação em conformidade com a Lei Federal Nº 7.418 de 16 de dezembro de 1985, Lei Estadual Nº 3.981 de 27 de novembro de 1987 e Decreto estadual Nº 2624-N de 29 de fevereiro de 1988.</t>
  </si>
  <si>
    <t>Contratação da VIAÇÃO PRETTI LTDA para fornecimento de vale-transporte aos servidores da Secretaria da Educação em conformidade com a Lei Federal Nº 7.418 de 16 de dezembro de 1985, Lei Estadual Nº 3.981 de 27 de novembro de 1987 e Decreto estadual Nº 2624-N de 29 de fevereiro de 1988.</t>
  </si>
  <si>
    <t>Contratação da VIAÇÃO SÃO JOÃO LTDA para fornecimento de vale-transporte aos servidores da Secretaria da Educação em conformidade com a Lei Federal Nº 7.418 de 16 de dezembro de 1985, Lei Estadual Nº 3.981 de 27 de novembro de 1987 e Decreto estadual Nº 2624-N de 29 de fevereiro de 1988.</t>
  </si>
  <si>
    <t>Contratação da VIAÇÃO MAR ABERTO LTDA EPP para fornecimento de vale-transporte aos servidores da Secretaria da Educação em conformidade com a Lei Federal Nº 7.418 de 16 de dezembro de 1985, Lei Estadual Nº 3.981 de 27 de novembro de 1987 e Decreto estadual Nº 2624-N de 29 de fevereiro de 1988.</t>
  </si>
  <si>
    <t>Contratação da COSTA SUL TRANSPORTES E TURISMO para fornecimento de vale-transporte aos servidores da Secretaria da Educação em conformidade com a Lei Federal Nº 7.418 de 16 de dezembro de 1985, Lei Estadual Nº 3.981 de 27 de novembro de 1987 e Decreto estadual Nº 2624-N de 29 de fevereiro de 1988.</t>
  </si>
  <si>
    <t>Contratação da TRANSPARK para fornecimento de vale-transporte aos servidores da Secretaria da Educação em conformidade com a Lei Federal Nº 7.418 de 16 de dezembro de 1985, Lei Estadual Nº 3.981 de 27 de novembro de 1987 e Decreto estadual Nº 2624-N de 29 de fevereiro de 1988.</t>
  </si>
  <si>
    <t>Contratação da Empresa ARRIGONI para fornecimento de vale-transporte aos servidores da Secretaria da Educação em conformidade com a Lei Federal Nº 7.418 de 16 de dezembro de 1985, Lei Estadual Nº 3.981 de 27 de novembro de 1987 e Decreto estadual Nº 2624-N de 29 de fevereiro de 1988.</t>
  </si>
  <si>
    <t>32.4345 - TRANSPORTE ESCOLAR - ENSINO FUNDAMENTAL; 32.4346 - TRANSPORTE ESCOLAR - ENSINO MÉDIO</t>
  </si>
  <si>
    <t>Contratação de serviços de confecção de chaves  visando atender os Setores desta Secretaria de Estado da Educação – SEDU, Superintendências Regionais de Educação – SRE´s localizadas na região da Grande Vitória e Conselho Estadual de Educação – CEE.</t>
  </si>
  <si>
    <t>Matheus Donna Volponi; Rodrigo Gonçalves e Silva; Bianca Alves de Oliveira; Livia Orlandi Abrantes; Sergiani Brito Frassi; Nícia de Souza Pereira</t>
  </si>
  <si>
    <t>Contratação de serviços de manutenção preventiva e corretiva, com fornecimento de peças e insumos em elevador da marca Nacional, modelo Vector Drive VVVF, para o atendimento da Unidade Central desta Secretaria de Estado da Educação - SEDU.</t>
  </si>
  <si>
    <t>Bianca Alves de Oliveira; Nícia de Souza Pereira</t>
  </si>
  <si>
    <t>Comissão Gestora</t>
  </si>
  <si>
    <t>Giselle Peres Zucolotto</t>
  </si>
  <si>
    <t>Bianca Alves de Oliveira; Sergiani Brito Frassi</t>
  </si>
  <si>
    <t>Bianca Alves de Oliveira; Livia Orlandi Abrantes</t>
  </si>
  <si>
    <t>Locação de imóvel localizado no Bairro Chácara Parreiral, Serra/ES, para armazenamento de materiais, bens móveis usados e novos, equipamentos de informática, livros e lotes de bens inservíveis.</t>
  </si>
  <si>
    <t>Locação de imóvel para instalação e funcionamento da EEEF Egídio Bordoni localizado na Rodovia Governador Mário Covas, KM 68,5, São Mateus/ES.</t>
  </si>
  <si>
    <t>Contrato de Locação de Imóvel Urbano nº 010/2015 com finalidade pública de instalação e funcionamento da Superintendência Regional de Educação Cariacica – SRE Cariacica/SEDU, localizado em Campo Grande, Cariacica/ES.</t>
  </si>
  <si>
    <t>Locação de imóvel para instalação dos acervos do Setor de Arquivo Geral e do Setor de Escola Extinta das Superintendências Regionais de Educação de Carapina, Cariacica, Vila Velha e da Unidade Central da SEDU.</t>
  </si>
  <si>
    <t>Locação de imóvel por meio do Contrato n° 053/2013 para instalação e funcionamento da EEEFM Fioravante Caliman, localizada em Venda Nova do Imigrante/ES.</t>
  </si>
  <si>
    <t>Contrato de Locação de Imóvel nº 071/2023 para instalação e funcionamento da Superintendência Regional de Educação de Guaçuí/ES.</t>
  </si>
  <si>
    <t>Locação de imóvel por meio do Contrato nº 100/2015,  destinado a instalação e funcionamento da Superintendência Regional de Educação de Afonso Claudio/ES.</t>
  </si>
  <si>
    <t>Locação de imóvel para funcionamento da Superintendência Regional de Educação de Cariacica, localizado na região (sede) do município.</t>
  </si>
  <si>
    <t>Contratação de Serviço Móvel Pessoal (SMP) nas modalidades longa distância nacional e internacional originada de terminais do SMP, por meio de assinaturas mensais de voz, voz e dados, com ou sem fornecimento de aparelhos de acesso móvel em comodato, SIMcards e sistema de gerenciamento online.</t>
  </si>
  <si>
    <t>Contratação de serviço para oferta de Atendimento Educacional Especializado-AEE, aos alunos regularmente matriculados na rede estadual e municipais de ensino, nas instituições privadas, filantrópicas sem fins lucrativos/CAEES. APAE VILA VALÉRIO.</t>
  </si>
  <si>
    <t>Contratação de serviço para oferta de Atendimento Educacional Especializado-AEE, aos alunos regularmente matriculados na rede estadual e municipais de ensino, nas instituições privadas, comunitárias, filantrópicas e sem fins lucrativos/CAEES. APAE SÃO MATEUS.</t>
  </si>
  <si>
    <t>Contratação de serviço para oferta de Atendimento Educacional Especializado-AEE, aos alunos regularmente matriculados na rede estadual e municipais de ensino, nas instituições privadas, filantrópicas sem fins lucrativos/CAEES. APAE VIANA.</t>
  </si>
  <si>
    <t>Contratação de serviço para oferta de Atendimento Educacional Especializado-AEE, aos alunos regularmente matriculados na rede estadual e municipais de ensino, nas instituições privadas, filantrópicas sem fins lucrativos/CAEES. PESTALOZZI VARGEM ALTA.</t>
  </si>
  <si>
    <t>Contratação de serviço para oferta de Atendimento Educacional Especializado-AEE, aos alunos regularmente matriculados na rede estadual e municipais de ensino, nas instituições privadas, filantrópicas sem fins lucrativos/CAEES. PESTALOZZI SANTA TERESA.</t>
  </si>
  <si>
    <t>Contratação de serviço para oferta de Atendimento Educacional Especializado-AEE, aos alunos regularmente matriculados na rede estadual e municipais de ensino, nas instituições privadas, filantrópicas sem fins lucrativos/CAEES. PESTALOZZI DE GUARAPARI.</t>
  </si>
  <si>
    <t>Contratação de serviço para oferta de Atendimento Educacional Especializado-AEE, aos alunos regularmente matriculados na rede estadual e municipais de ensino, nas instituições privadas, filantrópicas sem fins lucrativos/CAEES. APAE CARIACICA.</t>
  </si>
  <si>
    <t>Contratação de serviço para oferta de Atendimento Educacional Especializado-AEE, aos alunos regularmente matriculados na rede estadual e municipais de ensino, nas instituições privadas, comunitárias, filantrópicas e  sem fins lucrativos/CAEES.                     APAE SÃO ROQUE DO CANAÃ.</t>
  </si>
  <si>
    <t>Contratação de serviço para oferta de Atendimento Educacional Especializado-AEE, aos alunos regularmente matriculados na rede estadual e municipais de ensino, nas instituições privadas, comunitárias, filantrópicas e  sem fins lucrativos/CAEES.                      APAE SÃO GABRIEL DA PALHA.</t>
  </si>
  <si>
    <t>Contratação de serviço para oferta de Atendimento Educacional Especializado-AEE, aos alunos regularmente matriculados na rede estadual e municipais de ensino, nas instituições privadas, comunitárias, filantrópicas e  sem fins lucrativos/CAEES.                           AMAES.</t>
  </si>
  <si>
    <t>Contratação de serviço para oferta de Atendimento Educacional Especializado-AEE, aos alunos regularmente matriculados na rede estadual e municipais de ensino, nas instituições privadas, comunitárias, filantrópicas e  sem fins lucrativos/CAEES.                          APAE CACHOEIRO DE ITAPEMIRIM.</t>
  </si>
  <si>
    <t>Contratação de serviço para oferta de Atendimento Educacional Especializado-AEE, aos alunos regularmente matriculados na rede estadual e municipais de ensino, nas instituições privadas, comunitárias, filantrópicas e  sem fins lucrativos/CAEES.                      APAE BARRA DE SÃO FRANCISCO.</t>
  </si>
  <si>
    <t>Contratação de serviço para oferta de Atendimento Educacional Especializado-AEE, aos alunos regularmente matriculados na rede estadual e municipais de ensino, nas instituições privadas, comunitárias, filantrópicas e  sem fins lucrativos/CAEES.                      APAE GUARAPARI.</t>
  </si>
  <si>
    <t>Contratação de serviço para oferta de Atendimento Educacional Especializado-AEE, aos alunos regularmente matriculados na rede estadual e municipais de ensino, nas instituições privadas, comunitárias, filantrópicas e  sem fins lucrativos/CAEES.                      APAE VITÓRIA.</t>
  </si>
  <si>
    <t>Contratação de serviço para oferta de Atendimento Educacional Especializado-AEE, aos alunos regularmente matriculados na rede estadual e municipais de ensino, nas instituições privadas, comunitárias, filantrópicas e  sem fins lucrativos/CAEES.                PESTALOZZI ECOPORANGA.</t>
  </si>
  <si>
    <t>Contratação de serviço para oferta de Atendimento Educacional Especializado-AEE, aos alunos regularmente matriculados na rede estadual e municipais de ensino, nas instituições privadas, comunitárias, filantrópicas e  sem fins lucrativos/CAEES.                     PESTAL. CONCEIÇÃO DA BARRA.</t>
  </si>
  <si>
    <t>Contratação de serviço para oferta de Atendimento Educacional Especializado-AEE, aos alunos regularmente matriculados na rede estadual e municipais de ensino, nas instituições privadas, comunitárias, filantrópicas e  sem fins lucrativos/CAEES.                   PESTAL JOÃO NEIVA.</t>
  </si>
  <si>
    <t>Contratação de serviço para oferta de Atendimento Educacional Especializado-AEE, aos alunos regularmente matriculados na rede estadual e municipais de ensino, nas instituições privadas, comunitárias, filantrópicas e  sem fins lucrativos/CAEES.                            PESTAL. JAGUARÉ.</t>
  </si>
  <si>
    <t>Contratação de serviço para oferta de Atendimento Educacional Especializado-AEE, aos alunos regularmente matriculados na rede estadual e municipais de ensino, nas instituições privadas, comunitárias, filantrópicas e  sem fins lucrativos/CAEES.                     APAE IÚNA.</t>
  </si>
  <si>
    <t>Contratação de serviço para oferta de Atendimento Educacional Especializado-AEE, aos alunos regularmente matriculados na rede estadual e municipais de ensino, nas instituições privadas, comunitárias, filantrópicas e  sem fins lucrativos/CAEES.                     APAE IRUPI.</t>
  </si>
  <si>
    <t>Contratação de serviço para oferta de Atendimento Educacional Especializado-AEE, aos alunos regularmente matriculados na rede estadual e municipais de ensino, nas instituições privadas, comunitárias, filantrópicas e  sem fins lucrativos/CAEES.                              APAE IBITIRAMA.</t>
  </si>
  <si>
    <t>Contratação de serviço para oferta de Atendimento Educacional Especializado-AEE, aos alunos regularmente matriculados na rede estadual e municipais de ensino, nas instituições privadas, comunitárias, filantrópicas e  sem fins lucrativos/CAEES.                        PESTAL. IBIRAÇU.</t>
  </si>
  <si>
    <t>Contratação de serviço para oferta de Atendimento Educacional Especializado-AEE, aos alunos regularmente matriculados na rede estadual e municipais de ensino, nas instituições privadas, comunitárias, filantrópicas e  sem fins lucrativos/CAEES.                       APAE IBATIBA.</t>
  </si>
  <si>
    <t>Contratação de serviço para oferta de Atendimento Educacional Especializado-AEE, aos alunos regularmente matriculados na rede estadual e municipais de ensino, nas instituições privadas, comunitárias, filantrópicas e  sem fins lucrativos/CAEES.                      APAE GUAÇUÍ.</t>
  </si>
  <si>
    <t>Contratação de serviço para oferta de Atendimento Educacional Especializado-AEE, aos alunos regularmente matriculados na rede estadual e municipais de ensino, nas instituições privadas, comunitárias, filantrópicas e  sem fins lucrativos/CAEES.                      APAE GOVERNADOR LINDENBERG.</t>
  </si>
  <si>
    <t>Contratação de serviço para oferta de Atendimento Educacional Especializado-AEE, aos alunos regularmente matriculados na rede estadual e municipais de ensino, nas instituições privadas, filantrópicas e sem fins lucrativos/CAEES.      PESTAL. DIVINO S. LOURENÇO.</t>
  </si>
  <si>
    <t>Contratação de serviço para oferta de Atendimento Educacional Especializado-AEE, aos alunos regularmente matriculados na rede estadual e municipais de ensino, nas instituições privadas, filantrópicas, sem fins lucrativos/CAEEs. PESTALOZZI PONTO BELO.</t>
  </si>
  <si>
    <t>Contratação de serviço para oferta de Atendimento Educacional Especializado-AEE, aos alunos regularmente matriculados na rede estadual e municipais de ensino, nas instituições privadas, filantrópicas, sem fins lucrativos/CAEEs.          APAE SANTA MARIA DE JETIBÁ.</t>
  </si>
  <si>
    <t>Contratação de serviço para oferta de Atendimento Educacional Especializado-AEE, aos alunos regularmente matriculados na rede estadual e municipais de ensino, nas instituições privadas, filantrópicas, sem fins lucrativos/CAEEs.         APAE SANTA LEOPOLDINA.</t>
  </si>
  <si>
    <t>Contratação de serviço para oferta de Atendimento Educacional Especializado-AEE, aos alunos regularmente matriculados na rede estadual e municipais de ensino, nas instituições privadas, filantrópicas, sem fins lucrativos/CAEEs. APAE PINHEIROS.</t>
  </si>
  <si>
    <t>Contratação de serviço para oferta de Atendimento Educacional Especializado-AEE, aos alunos regularmente matriculados na rede estadual e municipais de ensino, nas instituições privadas, filantrópicas, sem fins lucrativos/CAEEs. PESTALOZI JERÔNIMO MONTEIRO.</t>
  </si>
  <si>
    <t>Contratação de serviço para oferta de Atendimento Educacional Especializado-AEE, aos alunos regularmente matriculados na rede estadual e municipais de ensino, nas instituições privadas, filantrópicas, sem fins lucrativos/CAEEs.  APAE COLATINA.</t>
  </si>
  <si>
    <t>Contratação de serviço para oferta de Atendimento Educacional Especializado-AEE, aos alunos regularmente matriculados na rede estadual e municipais de ensino, nas instituições privadas, filantrópicas, sem fins lucrativos/CAEEs.  APAE BAIXO GUANDU.</t>
  </si>
  <si>
    <t>Contratação de serviço para oferta de Atendimento Educacional Especializado-AEE, aos alunos regularmente matriculados na rede estadual e municipais de ensino, nas instituições privadas, filantrópicas, sem fins lucrativos/CAEEs. PESTALOZZI ATILIO VIVACQUA.</t>
  </si>
  <si>
    <t>Contratação de serviço para oferta de Atendimento Educacional Especializado-AEE, aos alunos regularmente matriculados na rede estadual e municipais de ensino, nas instituições privadas, filantrópicas, sem fins lucrativos/CAEEs. APAE ARACRUZ.</t>
  </si>
  <si>
    <t>Contratação de serviço para oferta de Atendimento Educacional Especializado-AEE, aos alunos regularmente matriculados na rede estadual e municipais de ensino, nas instituições privadas, filantrópicas, sem fins lucrativos/CAEEs.   APAE ALEGRE.</t>
  </si>
  <si>
    <t>Contratação de serviço para oferta de Atendimento Educacional Especializado-AEE, aos alunos regularmente matriculados na rede estadual e municipais de ensino, nas instituições privadas, filantrópicas, sem fins lucrativos/CAEEs.  PESTAL. ÁGUA DOCE DO NORTE.</t>
  </si>
  <si>
    <t>Contratação de serviço para oferta de Atendimento Educacional Especializado-AEE, aos alunos regularmente matriculados na rede estadual e municipais de ensino, nas instituições privadas, filantrópicas, sem fins lucrativos/CAEEs.   APAE SERRA.</t>
  </si>
  <si>
    <t>Contratação de serviço para oferta de Atendimento Educacional Especializado-AEE, aos alunos regularmente matriculados na rede estadual e municipais de ensino, nas instituições privadas, filantrópicas, sem fins lucrativos/CAEEs.  PESTAL. RIO NOVO DO SUL.</t>
  </si>
  <si>
    <t>Contratação de serviço para oferta de Atendimento Educacional Especializado-AEE, aos alunos regularmente matriculados na rede estadual e municipais de ensino, nas instituições privadas, filantrópicas, sem fins lucrativos/CAEEs.   APAE RIO BANANAL.</t>
  </si>
  <si>
    <t>Contratação de serviço para oferta de Atendimento Educacional Especializado-AEE, aos alunos regularmente matriculados na rede estadual e municipais de ensino, nas instituições privadas, filantrópicas, sem fins lucrativos/CAEEs.  APAE PIÚMA.</t>
  </si>
  <si>
    <t>Contratação de serviço para oferta de Atendimento Educacional Especializado-AEE, aos alunos regularmente matriculados na rede estadual e municipais de ensino, nas instituições privadas, filantrópicas, sem fins lucrativos/CAEEs.  APAE NOVA VENÉCIA.</t>
  </si>
  <si>
    <t>Contratação de serviço para oferta de Atendimento Educacional Especializado-AEE, aos alunos regularmente matriculados na rede estadual e municipais de ensino, nas instituições privadas, filantrópicas, sem fins lucrativos/CAEEs.   APAE MUQUI.</t>
  </si>
  <si>
    <t>Contratação de serviço para oferta de Atendimento Educacional Especializado-AEE, aos alunos regularmente matriculados na rede estadual e municipais de ensino, nas instituições privadas, filantrópicas, sem fins lucrativos/CAEEs. APAE MUNIZ FREIRE.</t>
  </si>
  <si>
    <t>Contratação de serviço para oferta de Atendimento Educacional Especializado-AEE, aos alunos regularmente matriculados na rede estadual e municipais de ensino, nas instituições privadas, filantrópicas, sem fins lucrativos/CAEEs.  APAE MONTANHA.</t>
  </si>
  <si>
    <t>Contratação de serviço para oferta de Atendimento Educacional Especializado-AEE, aos alunos regularmente matriculados na rede estadual e municipais de ensino, nas instituições privadas, filantrópicas, sem fins lucrativos/CAEEs. PESTAL. MIMOSO DO SUL.</t>
  </si>
  <si>
    <t>Contratação de serviço para oferta de Atendimento Educacional Especializado-AEE, aos alunos regularmente matriculados na rede estadual e municipais de ensino, nas instituições privadas, filantrópicas, sem fins lucrativos/CAEEs. APAE MARILÂNDIA.</t>
  </si>
  <si>
    <t>Contratação de serviço para oferta de Atendimento Educacional Especializado-AEE, aos alunos regularmente matriculados na rede estadual e municipais de ensino, nas instituições privadas, filantrópicas, sem fins lucrativos/CAEEs.  APAE MARATAÍZES.</t>
  </si>
  <si>
    <t>Contratação de serviço para oferta de Atendimento Educacional Especializado-AEE, aos alunos regularmente matriculados na rede estadual e municipais de ensino, nas instituições privadas, filantrópicas, sem fins lucrativos/CAEEs.  PESTAL. LINHARES.</t>
  </si>
  <si>
    <t>Contratação de serviço para oferta de Atendimento Educacional Especializado-AEE, aos alunos regularmente matriculados na rede estadual e municipais de ensino, nas instituições privadas, filantrópicas, sem fins lucrativos/CAEEs. PESTAL. ANCHIETA .</t>
  </si>
  <si>
    <t>Contratação de serviço para oferta de Atendimento Educacional Especializado-AEE, aos alunos regularmente matriculados na rede estadual e municipais de ensino, nas instituições privadas, comunitárias, confessionais ou filantrópicas sem fins lucrativos/CAEES.                          PESTAL. ÁGUIA BRANCA.</t>
  </si>
  <si>
    <t>O objeto do presente instrumento é a contratação de plataforma de leitura com licença de uso de biblioteca digital de empréstimo de e-Books, sob licença de software, e acesso por assinaturas de estudantes, a serem pagas pela sua efetividade, com um teto de 148.549 estudantes.</t>
  </si>
  <si>
    <t>Contratação de serviços de fábrica de software que oferece serviço especializado  no desenvolvimento de aplicações e sistemas digitais, visando a construção de softwares em escala para suprir as necessidades da SEDU e Escolas.</t>
  </si>
  <si>
    <t>27.0035 - RESERVA PARA O PAGAMENTO DE PESSOAL - ENSINO FUNDAMENTAL</t>
  </si>
  <si>
    <t>27.0036 - RESERVA PARA O PAGAMENTO DE PESSOAL - ENSINO MÉDIO</t>
  </si>
  <si>
    <t>32.2372 - REMUNERAÇÃO DOS PROFISSIONAIS DA EDUCAÇÃO - UNIDADES ESCOLARES DE EDUCAÇÃO ESPECIAL</t>
  </si>
  <si>
    <t>32.2373 - REMUNERAÇÃO DOS PROFISSIONAIS DA EDUCAÇÃO - UNIDADES ESCOLARES DA EJA</t>
  </si>
  <si>
    <t>32.2374 - REMUNERAÇÃO DOS PROFISSIONAIS DA EDUCAÇÃO - UNIDADES ESCOLARES DE ENSINO FUNDAMENTAL</t>
  </si>
  <si>
    <t>32.2375 - REMUNERAÇÃO DOS PROFISSIONAIS DA EDUCAÇÃO - UNIDADES ESCOLARES DE ENSINO MÉDIO</t>
  </si>
  <si>
    <t>32.2376 - TRASPORTE ESCOLAR</t>
  </si>
  <si>
    <t>33.4089 - COOPERAÇÃO ESTADO/MUNICÍPIOS NA IMPLEMENTAÇÃO DE POLÍTICAS DE EDUCAÇÃO - ENSINO FUNDAMENTAL</t>
  </si>
  <si>
    <t>Contratação direta - Inexigibilidade</t>
  </si>
  <si>
    <t>Contratação dos Serviços de Implantação de salas na EEEFM VICTÓRIO BRAVIM, no município de MARECHAL FLORIANO/ES.</t>
  </si>
  <si>
    <t>Contratação direta - dispensa de licitação</t>
  </si>
  <si>
    <t>Aquisição de 03 (três) licenças do software SisDEA para cálculo de inferência estatística, como solução para a Comissão de Avaliação Imobiliária desta Secretaria nas atividades de elaboração e/ou homologação de laudos de avaliação de imóveis.</t>
  </si>
  <si>
    <t>Aquisição de placa de comunicação visual para instalação na fachada da Sedu, dando visibilidade aos resultados da educação capixaba no Ideb.</t>
  </si>
  <si>
    <t xml:space="preserve">Dispensa de Licitação </t>
  </si>
  <si>
    <t>32. 2175 - MANUTENÇÃO DAS UNIDADES CENTRAL E REGIONAIS</t>
  </si>
  <si>
    <t>2025-PCA-SEDU 467</t>
  </si>
  <si>
    <t>2025-PCA-SEDU 465</t>
  </si>
  <si>
    <t>2025-PCA-SEDU 466</t>
  </si>
  <si>
    <t>Aquisição de material didático escolar para atender às necessidades dos estudantes matriculados em cursos técnicos no escopo do PRONATEC,no ano letivo de 2025, em dois lotes, com recursos PRONATEC(MEDIOTEC), por meio de Pregão Eletrônico com Registro de Preços.</t>
  </si>
  <si>
    <t>Contratação de empresa especializada e de ampla experiência para a prestação de serviços de 516 horas de Curso de formação continuada para os profissionais da área de Língua Portuguesa e Matemática, voltado para a recomposição de aprendizagens, aos profissionais da educação da Rede Pública Estadual de Ensino do Espírito Santo.</t>
  </si>
  <si>
    <t>Contratação de instituição especializada em serviços de intercâmbio cultural com “curso intensivo de línguas”, para 350 estudantes em 2025 e 500 estudantes em 2026, dos Centros Estaduais de Idiomas-CEIs, devidamente matriculados no Ensino Médio da Rede Pública Estadual de Ensino.</t>
  </si>
  <si>
    <t>2025-PCA-SEDU 468</t>
  </si>
  <si>
    <t>2025-3K3J3F</t>
  </si>
  <si>
    <t xml:space="preserve"> 2025-X0C8KZ</t>
  </si>
  <si>
    <t>Aquisição de 01(uma) licença do Adobe Creative Cloud, com atualização e suporte durante 12 meses, destinado para a SUDEPRO.</t>
  </si>
  <si>
    <t>Aquisição de livros didáticos para professores e estudantes matriculados nos 31 cursos técnicos ofertados por meio do Itinerário de Formação Técnica e Profissional em 146 escolas públicas estaduais, localizadas em 68 municípios.</t>
  </si>
  <si>
    <t>Contratação de empresa para o fornecimento de material gráfico, incluindo a realização dos serviços de Impressão e Serviços Editoriais; Diagramação; ISBN; Revisão texto; E-Book do Livro Paebes 25 anos.</t>
  </si>
  <si>
    <t>Contratação do SENAI/ES para oferta de até 2.010 vagas em cursos técnicos de nível médio, na forma concomitante, distribuídas em 08 unidades do SENAI/ES, para estudantes matriculados na 1ª e 2ª séries do ensino médio em escolas públicas estaduais do Espírito Santo.</t>
  </si>
  <si>
    <t>2025-PCA-SEDU 469</t>
  </si>
  <si>
    <t>2025-NT9LSR</t>
  </si>
  <si>
    <t>Contratação de empresa especializada para a prestação de serviços de intercâmbio com destino ao Chile, para “Formação Pedagógica de Diretores”, contemplando experiência formativa, visitas técnicas a escolas de ensino básico e médio, hospedagem, alimentação, transporte, transfer, kit viagem, seguroviagem, para atender 70 (setenta) profissionais da educação, em efetivo exercício na rede pública de ensino do Espírito Santo, a ser realizado na Universidade Diego Portales.</t>
  </si>
  <si>
    <t xml:space="preserve">Licitação </t>
  </si>
  <si>
    <t>2025-PCA-SEDU 470</t>
  </si>
  <si>
    <t>2025-NMB52V</t>
  </si>
  <si>
    <t>Contratação de instituição brasileira, legalmente incumbida de atividades de pesquisa, ensino ou desenvolvimento institucional, para planejamento e realização de Formação destinada a profissionais da Educação dos Anos Iniciais do Ensino Fundamental, no âmbito do Compromisso Nacional Criança Alfabetizada, no Estado do Espírito Santo.</t>
  </si>
  <si>
    <t>33.6086 –
Formação de Professores do Ensino
Fundamental</t>
  </si>
  <si>
    <t>2024-DW62CS</t>
  </si>
  <si>
    <t xml:space="preserve"> 2024-ZHNS1B</t>
  </si>
  <si>
    <t>Contratação de vagas no Congresso Brasileiro de Pregoeiros e Agentes de Contratação visando a capacitação continuada e atualização profissional de servidores sobre a Nova Lei de Licitações e Contratos.</t>
  </si>
  <si>
    <t xml:space="preserve">EXCLUÍDO EM 07/03/2025, conforme encaminhamento 2025-Q05F8C 
</t>
  </si>
  <si>
    <t>Trata-se da contratação de obra e serviços de engenharia, em razão da definição do art. 6º, incisos XII e XXI, a, da Lei Federal nº 14.133/2021, referente a Reconstrução de Muro de Divisa com Arrimo da CEEFMTI Governador Gerson Camata, localizada em São Gabriel da Palha/ES.</t>
  </si>
  <si>
    <t>Trata-se da contratação de obra e serviços de engenharia, em razão da definição do art. 6º, incisos XII e XXI, a, da Lei Federal nº 14.133/2021, referente a obra de reforma e ampliação da EEEFM João Neiva, localizada em João Neiva/ES.</t>
  </si>
  <si>
    <t xml:space="preserve">EXCLUÍDO EM 07/03/2025, conforme encaminhamento  2025-P0N6V8.
</t>
  </si>
  <si>
    <t>2025-PCA-SEDU 471</t>
  </si>
  <si>
    <t xml:space="preserve"> 2025-P0N6V8</t>
  </si>
  <si>
    <t>Contratação de empresa especializada na prestação de serviços de configuração e manutenção de centrais PABX e Ramais IP.</t>
  </si>
  <si>
    <t>Contratação do SENAC para oferta de até 1845 vagas em cursos técnicos de nível médio, na forma concomitante, distribuídas em 11 unidades do SENAC, para estudantes matriculados na 1ª e 2ª séries do ensino médio em escolas públicas estaduais do Espírito Santo.</t>
  </si>
  <si>
    <t>Contratação do SEST/SENAT/ES para oferta de até 240 vagas em cursos técnicos de nível médio, na forma concomitante, distribuídas em 03 unidades do SEST/SENAT/ES, para estudantes matriculados na 1ª e 2ª séries do ensino médio em escolas públicas estaduais do Espírito Santo.</t>
  </si>
  <si>
    <t>2025-PCA-SEDU 472</t>
  </si>
  <si>
    <t>2025-KX39CZ</t>
  </si>
  <si>
    <t>EXCLUÍDO em 19/03/2025, conforme formulário 2025-MK7N9C.
Encaminhamento 2025-7P8NC5.</t>
  </si>
  <si>
    <t>2025-PCA-SEDU 473</t>
  </si>
  <si>
    <t>Contratação de empresa especializada, sob demanda, para o  fornecimento do serviço de coffee break para os eventos a serem realizados pela ARCTI e GGE</t>
  </si>
  <si>
    <t>Contratação direta - Adesão a ARP</t>
  </si>
  <si>
    <t>SFCCI</t>
  </si>
  <si>
    <t>2025-PCA-SEDU 474</t>
  </si>
  <si>
    <t>2025-3232VS</t>
  </si>
  <si>
    <t>Contratação de instituição financeira autorizada pelo Banco Central do Brasil, para operar, em regime de exclusividade, a prestação de serviços bancários para pagamento de Bolsa-Formação Estudante e Bolsa-Formação Trabalhador aos estudantes beneficiários e professores do Programa Nacional de Acesso ao Ensino Técnico e Emprego (PRONATEC), instituído pela Lei Federal Nº 12.513, de 26 de outubro de 2011.</t>
  </si>
  <si>
    <t>2025-PCA-SEDU 475</t>
  </si>
  <si>
    <t>2025-8STXFX</t>
  </si>
  <si>
    <t>Trata-se da contratação de obra e serviços de engenharia, em razão da definição do art. 6º, incisos XII e XXI, a, da Lei Federal nº 14.133/2021, referente a Construção de nova sede da EEEFM JOAQUIM CAETANO DE PAIVA, localizada em Laranja da Terra/ES.</t>
  </si>
  <si>
    <t>2025-PCA-SEDU 476</t>
  </si>
  <si>
    <t>2025-2BXZGF</t>
  </si>
  <si>
    <t>Trata-se da contratação de obra e serviços de engenharia, em razão da definição do art. 6º, incisos XII e XXI, a, da Lei Federal nº 14.133/2021, referente a Construção da nova sede da EEEFM JOSÉ PINTO COELHO, localizada em Santa Teresa/ES.</t>
  </si>
  <si>
    <t>2025-PCA-SEDU 477</t>
  </si>
  <si>
    <t xml:space="preserve"> 2025-J68HVH</t>
  </si>
  <si>
    <t>2025-PCA-SEDU 478</t>
  </si>
  <si>
    <t xml:space="preserve"> 2025-2CN0VP</t>
  </si>
  <si>
    <t>Contratação de vagas para o Curso Prático de Gestão da Conta Vinculada e do Pagamento pelo Fato Gerador: Contexto, Implantação, Administração, Cálculos e Controles, que ocorrerá na modalidade presencial, no período de 09 a 11 de julho de 2025, na cidade de São Paulo/SP, com carga horária de 21 horas.</t>
  </si>
  <si>
    <t>EXCLUÍDO EM 15/05/2025, conforme encaminhamento  2025-2CN0VP.</t>
  </si>
  <si>
    <t>Locação de imóvel para funcionamento da Superintendência Regional de Educação (SRE) de Linhares, que seja localizado na região (sede) do município, que contemple no mínimo os ambientes essenciais  apresentados e especificados.</t>
  </si>
  <si>
    <t>Contratação de profissional especializado na prestação de serviço de conservação e restauração da obra em Homenagem ao povo Espírito-santense em comemoração ao 450º aniversário de nascimento do Padre José de Anchieta.</t>
  </si>
  <si>
    <t>2025-PCA-SEDU 479</t>
  </si>
  <si>
    <t>2025-PCA-SEDU 480</t>
  </si>
  <si>
    <t>2025-PCA-SEDU 481</t>
  </si>
  <si>
    <t>Contratação de solução de controle de ativos.</t>
  </si>
  <si>
    <t>2025-PCA-SEDU 484</t>
  </si>
  <si>
    <t>Aquisição de suprimentos de informática.</t>
  </si>
  <si>
    <t>2025-PCA-SEDU 485</t>
  </si>
  <si>
    <t>2025-PCA-SEDU 486</t>
  </si>
  <si>
    <t>Contratação de empresa ou cooperativa para executar serviços de transporte escolar aos alunos da rede estadual de ensino matriculados nas escolas estaduais dos municípios de Viana e Cariacica.</t>
  </si>
  <si>
    <t>2025-PCA-SEDU 487</t>
  </si>
  <si>
    <t>2025-PCA-SEDU 488</t>
  </si>
  <si>
    <t>2025-PCA-SEDU 489</t>
  </si>
  <si>
    <t>GEPRO</t>
  </si>
  <si>
    <t>Contratação de empresa especializada para o fornecimento de 350 (trezentas e cinquenta) inscrições para os servidores da Secretaria de Estado da Educação (Sedu) participarem do evento formativo “IV Meeting Tribuna Educação – Pensamento Matemático como Base para Transformar a Educação”.</t>
  </si>
  <si>
    <t>Reforma e Ampliação da EEEFM ELVIRA BARROS, localizada em Afonso Claudio/ES.</t>
  </si>
  <si>
    <t>Aquisição de notebooks para atender aos servidores da Secretaria de Educação do ES.</t>
  </si>
  <si>
    <t>PENDENTE</t>
  </si>
  <si>
    <t>2025-PCA-SEDU 482</t>
  </si>
  <si>
    <t>Aquisição de licenças de software de backup corporativo em nuvem, bem como dos serviços de instalação, configuração, treinamento e suporte técnico especializado.</t>
  </si>
  <si>
    <t>2025-PCA-SEDU 483</t>
  </si>
  <si>
    <t>Aquisição de dois appliances de cópia de segurança de dados (hardware) para solução de backup</t>
  </si>
  <si>
    <t>32.2376 - TRANSPORTE ESCOLAR</t>
  </si>
  <si>
    <t>Contratação de inscrições para o “2º Licita Sudeste”.</t>
  </si>
  <si>
    <t>2025-PCA-SEDU 490</t>
  </si>
  <si>
    <t>Trata-se da contratação de obra e serviços de engenharia, referente a Reforma da EEEFM Santíssima Trindade, localizada em Iúna/ES.</t>
  </si>
  <si>
    <t>Bem de Consumo - TIC</t>
  </si>
  <si>
    <t>Bem Permanente - Equipamentos</t>
  </si>
  <si>
    <t>Bem Permanente - Mobiliário</t>
  </si>
  <si>
    <t>Bem Permanente - TIC</t>
  </si>
  <si>
    <t>Evento Formativo para Aluno</t>
  </si>
  <si>
    <t>Evento Institucional</t>
  </si>
  <si>
    <t>Formação/Capacitação para Servidor</t>
  </si>
  <si>
    <t>Imóvel - Aquisição</t>
  </si>
  <si>
    <t>Imóvel - Locação</t>
  </si>
  <si>
    <t>Material de Consumo para Evento</t>
  </si>
  <si>
    <t>Material de Expediente e Consumo</t>
  </si>
  <si>
    <t>Serviço Público - Monopólio</t>
  </si>
  <si>
    <t>Serviços Terceirizados - Sem DEMO</t>
  </si>
  <si>
    <t>Serviços Terceirizados - Serviço Bancário</t>
  </si>
  <si>
    <t>Serviços Terceirizados - TIC</t>
  </si>
  <si>
    <t>Serviços Terceirizados - Transporte Eventos</t>
  </si>
  <si>
    <t>Serviços Terceirizados - Transporte de Servidor</t>
  </si>
  <si>
    <t>Serviços Terceirizados - Transporte Escolar</t>
  </si>
  <si>
    <t>Serviços Terceirizados - Atendimento Pedagógico Especializado Complementar</t>
  </si>
  <si>
    <t>Serviços Terceirizados - Vaga em Curso Técnico para Aluno</t>
  </si>
  <si>
    <t>Gênero alimentício</t>
  </si>
  <si>
    <t>Tributo</t>
  </si>
  <si>
    <t>2025-PCA-SEDU 491</t>
  </si>
  <si>
    <t>Contratação de empresa especializada na prestação de diversos tipos de serviços de confecção de chaves com fornecimento de peças e produtos auxiliares para a restrição de acesso, visando atender os Setores desta Unidade Administrativa – SEDU, Superintendências Regionais de Educação – SRE´s localizadas na região da Grande Vitória e Conselho Estadual de Educação – CEE, Galpões pertencentes a Secretaria de Educação – SEDU e Centro de Formação dos Professores - CEFOPE.</t>
  </si>
  <si>
    <t>Impressão em gráfica dos cadernos metodológicos elaborados e editorados pela Gerência de Currículo da Educação Básica.</t>
  </si>
  <si>
    <t>Contratação de serviços de confecção de chaves  visando atender os Setores desta Secretaria de Estado da Educação – SEDU, Superintendências Regionais de Educação – SRE´s localizadas na região da Grande Vitória e Conselho Estadual de Educação –
CEE.</t>
  </si>
  <si>
    <t xml:space="preserve">Contratação de empresa especializada em serviço de agenciamento de Intercâmbio Cultural com Curso Intensivo de Línguas para Estudantes dos Centros Estaduais de Idiomas - CEIs, matriculados no ano letivo de 2024. Beneficiando 170 intercambistas. </t>
  </si>
  <si>
    <t xml:space="preserve">Contratação direta
</t>
  </si>
  <si>
    <t>Nova - EXCLUÍDO CONFORME DOCUMENTO 2025-59DXFX - ENCAMINHAMENTO 2025-FJ5JHZ</t>
  </si>
  <si>
    <t>2025-PCA-SEDU 492</t>
  </si>
  <si>
    <t>Contratação de inscrições para a XIV Edição do Congresso Nacional de Secretários de Estado da Administração (CONSAD), na modalidade presencial, previsto para ser realizado de 26 a 28 de agosto de 2025, no Centro de Convenções Ulysses Guimarães, em Brasília/DF.</t>
  </si>
  <si>
    <t>Serviço Público - Monopólio DIOES</t>
  </si>
  <si>
    <t xml:space="preserve"> 33.8662 - FORMAÇÃO DE PROFESSORES DA EDUCAÇÃO ESPECIAL</t>
  </si>
  <si>
    <t>2025-PCA-SEDU 493</t>
  </si>
  <si>
    <t>2024-4L2R4V
2025-H5JKVK</t>
  </si>
  <si>
    <t>Contratação de serviço de locação de espaço físico, hospedagem e alimentação para o “II Seminário de Educação Especial na Perspectiva da Educação Inclusiva do Espírito Santo - 2025”, com participação de 1.598 servidores e convidados.</t>
  </si>
  <si>
    <t>Contratação de empresa especializada que possa fornecer os serviços de locação de equipamentos para a realização de eventos de grande porte, de recursos humanos necessários para a organização e execução de evento e de aquisição (fornecimento) de materiais que serão entregues aos convidados e participantes do evento, necessários para a realização do II Seminário Estadual de Educação Especial na Perspectiva da Educação Inclusiva.</t>
  </si>
  <si>
    <t>Contratação de empresa especializada que possa fornecer locação de espaço físico, equipamentos audiovisuais, alimentação, apoio logístico e materiais gráficos, que serão entregues aos convidados e participantes do evento, necessários para a realização do I Seminário Estadual do BPC na Escola - 2025.</t>
  </si>
  <si>
    <t>2025-PCA-SEDU 494</t>
  </si>
  <si>
    <t>CEFOPE</t>
  </si>
  <si>
    <t>Contratação de empresa especializada em planejamento, organização e execução de seminários e eventos, para atender as demandas formativas da Secretaria de Estado da Educação, sob coordenação do Centro de Formação dos Profissionais da Educação do Espírito Santo (CEFOPE), na cidade de Vitória (ES).</t>
  </si>
  <si>
    <t>32.2183 - FORMAÇÃO DE TÉCNICOS E GESTORES; 33.6086 - FORMAÇÃO DE PROFESSORES DO ENSINO FUNDAMENTAL; 33.6087 - FORMAÇÃO DOS PROFESSORES DO ENSINO MÉDIO</t>
  </si>
  <si>
    <t>2025-XBMH07</t>
  </si>
  <si>
    <t>2025-M79F7C</t>
  </si>
  <si>
    <t>2025-92B9G2</t>
  </si>
  <si>
    <t>2025-6801VB</t>
  </si>
  <si>
    <t>Contratação de empresa especializada  para prestação de serviços de locação de espaço físico, infraestrutura, hospedagem, alimentação e apoio logístico, bem como aquisição de materiais gráficos, com o objetivo de viabilizar a realização das Imersões dos profissionais que atuam nos Núcleos Estaduais de Apoio Pedagógico à Inclusão Escolar (NEAPIEs), que ocorrerão nos períodos de 06 e 07 de novembro de 2025 (I Imersão) e 26 e 27 de fevereiro de 2026 (II Imersão)</t>
  </si>
  <si>
    <t>Trata-se da contratação de empresa para execução da obra de Reforma da Superintendência Regional de Ensino de Colatina, localizada em Colatina/ES, com fornecimento de mão de obra e materiais.</t>
  </si>
  <si>
    <t>Trata-se da contratação de empresa para execução da obra de Construção da Nova Sede da EEEFM Armando Barbosa Quitiba, localizada no município de Sooretama/ES, com fornecimento de mão de obra e materiais.</t>
  </si>
  <si>
    <t>Trata-se da contratação de empresa para execução da obra de reforma da EEEM Emir de Macedo Gomes, localizada no município de Linhares/ES, com fornecimento de mão de obra e materiais.</t>
  </si>
  <si>
    <t>Trata-se da contratação de empresa para execução da obra de reconstrução do castelo d’água e reformas na EEEFM Bernardo Horta, localizado no município de Irupi/ES, com fornecimento de mão de obra e materiais.</t>
  </si>
  <si>
    <t>2025-PCA-SEDU 495</t>
  </si>
  <si>
    <t>2025-9NFKCM</t>
  </si>
  <si>
    <t xml:space="preserve"> Contratação de serviços de locação de transporte terrestre (ônibus e Vans).</t>
  </si>
  <si>
    <t>32.2358; 32.6677; 33.8089; 33.8678; 33.8683; 32.2183; 33.2349; 33.2348; 33.8662</t>
  </si>
  <si>
    <t>SFFCI</t>
  </si>
  <si>
    <t>Trata-se da de empresa para execução da obra de reconstrução do castelo d'água e manutenção da climatização EEEFM Zumbi Dos Palmares, localizada no município de Serra/ES, com fornecimento de mão de obra e materiais.</t>
  </si>
  <si>
    <t xml:space="preserve"> </t>
  </si>
  <si>
    <t xml:space="preserve"> sd </t>
  </si>
  <si>
    <t>Trata-se da contratação de empresa para execução da obra de ESTABILIZAÇÃO DE TALUDE NA EEEM BRÁULIO FRANCO, localizada no município de Muniz Freire/ES, com fornecimento de mão de obra e materiais.</t>
  </si>
  <si>
    <t>Licitação - Pregão Eletrônico</t>
  </si>
  <si>
    <t>Trata-se da contratação de empresa especializada para reconstrução do Castelo D’água e reforma da cozinha do CEEMTI Bartouvino Costa, localizada em Linhares /ES,  com fornecimento de mão de obra e materiais.</t>
  </si>
  <si>
    <t>2025-PCA-SEDU 496</t>
  </si>
  <si>
    <t>2025-ZXCVC9</t>
  </si>
  <si>
    <t>Contratação Direta</t>
  </si>
  <si>
    <t>2025-0PTGL6</t>
  </si>
  <si>
    <t>2025-C339F9</t>
  </si>
  <si>
    <t>Contratação do SEST/SENAT/ES para oferta de até 120 vagas em cursos técnicos de nível médio, na forma concomitante, distribuídas em 03 unidades do SEST/SENAT/ES , para estudantes matriculados na 1ª e 2ª séries do ensino médio em escolas públicas estaduais do Espírito Santo.</t>
  </si>
  <si>
    <t>2025-PCA-SEDU 412-0</t>
  </si>
  <si>
    <t>2025-PCA-SEDU 497</t>
  </si>
  <si>
    <t>2025-M38Q84</t>
  </si>
  <si>
    <t>Contratação, por inexigibilidade de licitação, nos termos do artigo 74, inciso I, da Lei Federal nº 14.133/2021, de espaço no evento Inovaweek 2025, destinado à apresentação das ações desenvolvidas pela Secretaria de Estado da Educação (Sedu) para promover o desenvolvimento dos estudantes da Rede Estadual de Ensino, com foco na inovação e no empreendedorismo.</t>
  </si>
  <si>
    <t>2025-PCA-SEDU 412-1</t>
  </si>
  <si>
    <t>Contratação de empresa especializada em planejamento, organização e execução de eventos de grande porte para a realização da Cerimônia de Anúncio dos Países Destino dos Intercambistas relativo ao Intercâmbio Estudantil SEDU 2025, no Parque Cultural Casa do Governador (Praia da Costa, Vila Velha/ES).</t>
  </si>
  <si>
    <t>2025-PCA-SEDU 498</t>
  </si>
  <si>
    <t>Contratação de empresa especializada na prestação de serviços de planejamento, organização, fornecimento e instalação de estruturas, equipamentos, materiais, mão de obra e logística geral para eventos, incluindo locação de espaço físico, necessários à realização da Simulação Estudantil da Organização das Nações Unidas da Rede Estadual - SerONU 2025.</t>
  </si>
  <si>
    <t>2025-PCA-SEDU 499</t>
  </si>
  <si>
    <t>Contratação de empresa especializada em organização, planejamento e execução de evento institucional de médio porte, com locação de espaço, fornecimento de alimentação, sonorização e decoração, para realização da cerimônia de premiação do Prêmio Escola que Colabora (PEC), promovido pela Secretaria de Estado da Educação do Espírito Santo (SEDU/ES)</t>
  </si>
  <si>
    <t>2025-PCA-SEDU 500</t>
  </si>
  <si>
    <t>Contratação de empresa especializada na prestação de serviços de planejamento, organização, fornecimento e instalação de estruturas, equipamentos, materiais, mão de obra e logística geral para eventos, incluindo locação de espaço físico, localizado na Região Metropolitana da Grande Vitória, sob demanda, para atender às necessidades do “III Seminário de Práticas Exitosas do PROETI”, promovido pela Secretaria de Estado da Educação (Sedu).</t>
  </si>
  <si>
    <t>2025-PCA-SEDU 501</t>
  </si>
  <si>
    <t>Contratação de empresa especializada em organização, planejamento e execução de evento institucional de médio porte, com locação de espaço, fornecimento de alimentação, sonorização e decoração, para realização da Jornada do Regime de Colaboração, promovido pela Secretaria de Estado da Educação do Espírito Santo (SEDU/ES).</t>
  </si>
  <si>
    <t>2025-PCA-SEDU 412-2</t>
  </si>
  <si>
    <t>Contratação de empresa especializada em organização, planejamento e execução de eventos de médio porte, com locação de espaço, alimentação, sonorização e decoração para realização de cerimônia de premiação dos vencedores do Prêmio Sedu Boas Práticas na Educação - 18ª edição.</t>
  </si>
  <si>
    <t>2025-PCA-SEDU 502</t>
  </si>
  <si>
    <t>Contratação de uma empresa especializada em planejamento, organização e execução de eventos de grande porte para a realização da Cerimônia de Embarque Intercâmbio Estudantil SEDU 2025.</t>
  </si>
  <si>
    <t>2025-PCA-SEDU 503</t>
  </si>
  <si>
    <t>Contratação de empresa especializada na prestação de serviços de hospedagem, incluindo jantar e café da manhã, destinados aos participantes da "Formação em Acolhimento para os Jovens Protagonistas das Escolas de Tempo Integral de 2026.</t>
  </si>
  <si>
    <t>Nova demanda
Excluído pois o procedimento não foi concluído.</t>
  </si>
  <si>
    <t xml:space="preserve">Serviços de abastecimento de água e esgoto das escolas que integram a Rede Estadual de Ensino, localizadas no município LINHARES em favor da empresa SERVIÇO AUTÔNOMO DE ÁGUA E ESGOTO – SAAE.
</t>
  </si>
  <si>
    <t>Despesas relativas com serviços de abastecimento de água e esgoto das escolas que integram a Rede Estadual de Ensino, localizadas no município de IBIRAÇU em favor da empresa SERVIÇO AUTÔNOMO DE ÁGUA E ESGOTO – SAAE.</t>
  </si>
  <si>
    <t xml:space="preserve">Referente ao pagamento mensal regular de água da EEEFM José Zamprogno à Associação de Moradores da Vila Santo Antônio do Quinze (AMVSA XV).
</t>
  </si>
  <si>
    <t>2025-PCA-SEDU 504</t>
  </si>
  <si>
    <t>Registro de Preços para futura e eventual aquisição de armário de aço tipo roupeiro com 16 nichos, a fim de equipar as escolas de ensino fundamental e médio da rede estadual de ensino.</t>
  </si>
  <si>
    <t>2025-JHB8GH</t>
  </si>
  <si>
    <t>2025-PCA-SEDU 505</t>
  </si>
  <si>
    <t>2025-ZPXMRK</t>
  </si>
  <si>
    <t>Registro de Preços para futura e eventual aquisição de Kit de Material Escolar, visando atender às necessidades dos alunos matriculados no Ensino Fundamental Anos Iniciais, Ensino Fundamental Anos Finais, Ensino Médio (regular e profissionalizante) e EJA da rede estadual de ensino.</t>
  </si>
  <si>
    <t>33.8678 - FORTALECIMENTO DA APRENDIZAGEM DOS ESTUDANTES DO ENSINO MÉDIO NAS ÁREAS DE CONHECIMENTO; 33.8679 - MELHORIA DO DESEMPENHO ESCOLAR NO ENSINO FUNDAMENTAL</t>
  </si>
  <si>
    <t>2025-PCA-SEDU 506</t>
  </si>
  <si>
    <t>2025-MFL9H3</t>
  </si>
  <si>
    <t>Contratação de vagas para o Curso Contratação de Obras Públicas, com Ênfase no Uso da Contratação Integrada: Fiscalização e gestão de contratos em contratação integrada: matriz de riscos, principais cuidados, procedimentos de fiscalização e o Uso da IA, que ocorrerá na modalidade presencial, no período de 16 e 17 de outubro de 2025, na cidade de Vitória/ES, com carga horária de 16 horas.</t>
  </si>
  <si>
    <t>2025-PCA-SEDU 507</t>
  </si>
  <si>
    <t>2025-SQB77K</t>
  </si>
  <si>
    <t>Contratação de empresa para execução da obra de Reforma do CEEFTI Galdino Antônio Vieira, localizado no município de Vila Velha/ES, com fornecimento de mão de obra e materiais.</t>
  </si>
  <si>
    <t>2025-PCA-SEDU 508</t>
  </si>
  <si>
    <t>Contratação de serviços de fornecimento de coffee break e aquisição de materiais personalizados, para cumprimento da contrapartida da SEDU na organização do Evento Comemorativo dos 18 anos do Programa Saúde na Escola, sob coordenação da G-APOIE.</t>
  </si>
  <si>
    <t>2025-PCA-SEDU 509</t>
  </si>
  <si>
    <t>Aquisição de kits de participação e uniformes destinados aos estudantes e à equipe organizadora do evento Simulação Estudantil da ONU na Rede Estadual SerONU 2025</t>
  </si>
  <si>
    <t>Contratação direta - Dispensa de Licitação</t>
  </si>
  <si>
    <t xml:space="preserve"> Jéssica Tesch Gonçalves</t>
  </si>
  <si>
    <t>2025-PCA-SEDU 510</t>
  </si>
  <si>
    <t>2025-PCA-SEDU 511</t>
  </si>
  <si>
    <t>Contratação de serviços de urgência e emergência, incluindo a disponibilização de 01 (uma) ambulância de Suporte Básico com equipe completa e capacitada, em regime de plantão com ponto fixo, para a Simulação Estudantil da Organização das Nações Unidas na Rede Estadual – SerONU 2025</t>
  </si>
  <si>
    <t>2025-PCA-SEDU 512</t>
  </si>
  <si>
    <t>SUMOBE</t>
  </si>
  <si>
    <t>33.2703 – MODERNIZAÇÃO E REAPaRELHAMENTO DAS ESCOLAS DE ENSINO FUNDAMENTAL, 33.2704 - MODERNIZAÇÃO E REAPARELHAMENTO DAS ESCOLAS DE ENSINO MÉDIO</t>
  </si>
  <si>
    <t>33.2703 – MODERNIZAÇÃO E REAPARELHAMENTO DAS ESCOLAS DE ENSINO FUNDAMENTAL, 33.2704 - MODERNIZAÇÃO E REAPARELHAMENTO DAS ESCOLAS DE ENSINO MÉDIO</t>
  </si>
  <si>
    <t>Aquisição e instalação de equipamentos de Academias Populares e Calistênicas .</t>
  </si>
  <si>
    <t>Contratação de serviços especializados de sonorização, audiovisual e conectividade (internet Wi-Fi), incluindo suporte técnico completo, para atendimento ao evento Simulação Estudantil da Organização das Nações Unidas na Rede Estadual – SerONU 2025.</t>
  </si>
  <si>
    <t xml:space="preserve">Trata-se da contratação de empresa para execução da obra de construção da novasede da EEEM Mário Gurgel II, localizada no município de Vila Velha/ES, com fornecimento de mão de obra e materiais. </t>
  </si>
  <si>
    <t xml:space="preserve"> 33.1673 -  MODERNIZAÇÃO, AMPLIAÇÃO E ADEQUAÇÃO DA REDE DE ESCOLAS DE ENSINO MÉDIO</t>
  </si>
  <si>
    <t xml:space="preserve">   GOVERNO DO ESTADO DO ESPÍRITO SANTO
   SECRETARIA DE ESTADO DA EDUCAÇÃO</t>
  </si>
  <si>
    <t>O presente Projeto tem por objeto Aquisição de Smart tv´s e pedestal para TV´s de 55” a 75” pol. com bandeja de apoio.</t>
  </si>
  <si>
    <t>PCA SEDU 2025 - NOVAS CONTRATAÇÕES - VERSÃO 19 - 05/11/2025</t>
  </si>
  <si>
    <t>Termo de Cooperação nº 147/2024, cujo objeto é a descentralização de créditos orçamentários e repasse de recursos financeiros para a Contratação de empresa especializada em serviços engenharia Reforma e Ampliação da EEEFM CEL. Antônio Duarte, localizada no município de Iconha/ES.</t>
  </si>
  <si>
    <t xml:space="preserve">Estimativa do Valor Total a ser Transferido para o Executante (numeral) </t>
  </si>
  <si>
    <t xml:space="preserve">Estimativa do Valor Total a ser Transferido para o Executante em 2025 (numeral) </t>
  </si>
  <si>
    <t>Data do Encerramento do Termo</t>
  </si>
  <si>
    <t>33.1672, 33.1673</t>
  </si>
  <si>
    <t>Marcelo Amorim Gonçalves</t>
  </si>
  <si>
    <t>Termo de Cooperação nº 006/2023, cujo objeto é a descentralização de créditos orçamentários e repasse de recursos financeiros para a Contratação de empresa para execução de obra de Reforma e Ampliação da Escola Estadual Maria José Zouain de Miranda, localizada no município de Serra/ES.</t>
  </si>
  <si>
    <t>33.1672</t>
  </si>
  <si>
    <t>Termo de Cooperação nº 031/2025, cujo objeto é a descentralização de créditos orçamentários e repasse de recursos financeiros para a Contratação de empresa para reforma, recuperação e restauração da edificação da EEEFM MARIA ORTIZ, localizada no município de Vitória/ES.</t>
  </si>
  <si>
    <t>Classificação da Despesa</t>
  </si>
  <si>
    <t>2025-PCA-SEDU 517</t>
  </si>
  <si>
    <t>Contratação do PRODEST para prestação de serviços especializados de Tecnologia da Informação e Comunicação (TIC), incluindo cessão e ativação de ativos ópticos e IP; cessão e ativação de infraestrutura de rack e cabeamento óptico; fornecimento de circuito óptico redundante com largura de banda de alta velocidade, disponível 24 horas por dia, 7 dias por semana (24/7); suporte técnico a incidentes e problemas em regime 24/7; acesso aos serviços corporativos hospedados no Data Center do Estado (PRODEST); e serviços de monitoramento de rede e infraestrutura</t>
  </si>
  <si>
    <t>Contratação Direta
Dispensa</t>
  </si>
  <si>
    <t>2025-PCA-SEDU 518</t>
  </si>
  <si>
    <t>Aquisição e instalação de Aparelhos do tipo Playgrounds (Parque Modular, Playground, Casinha para recreação, Gangorra e Piso Emborrachado), objetivando o aparelhamento das escolas.</t>
  </si>
  <si>
    <t>Participação em Ata de Registro de Preço</t>
  </si>
  <si>
    <t>33. 2014 - COOPERAÇÃO ESTADO/MUNICÍPIOS NA IMPLEMENTAÇÃO DE POLÍTICAS DE EDUCAÇÃO - ENSINO INFANTIL</t>
  </si>
  <si>
    <t>Contratação de empresa especializada para serviço de engenharia de implantação de Ambientes de Rápida Implantação (ARI) com marquises, ambos em estrutura metálica, visando atender às demandas urgente de unidades escolares vinculadas à Secretaria de Estado da Educação do Espírito Santo (SEDU/ES), incluindo o fornecimento de mão de obra, materiais e equipamentos necessários.</t>
  </si>
  <si>
    <t>2025-PCA-SEDU 514</t>
  </si>
  <si>
    <t>2025-PCA-SEDU 515</t>
  </si>
  <si>
    <t>2025-PCA-SEDU 516</t>
  </si>
  <si>
    <t>Termo de Cooperação nº 0188/2023, cujo objeto é a descentralização de créditos orçamentários e repasse de recursos financeiros para a Contratação de empresa especializada em serviços de engenharia para execução dos serviços de Obra de Reforma e Ampliação da EEEFM Narceu de Paiva Filho, localizada no município de Ibiraçu/ES.</t>
  </si>
  <si>
    <t>Termo de Cooperação nº 088/2024, cujo objeto é a descentralização de créditos orçamentários e repasse de recursos financeiros para a Contratação de empresa especializada em serviços de engenharia para reforma e ampliação da EEEFM Atílio Vivacqua, localizada no município de Vila Valério/ES.</t>
  </si>
  <si>
    <t>05/27/2028</t>
  </si>
  <si>
    <t>2025-PCA-SEDU 520</t>
  </si>
  <si>
    <t>2025-PCA-SEDU 521</t>
  </si>
  <si>
    <t>2025-PCA-SEDU 519</t>
  </si>
  <si>
    <t>Contratação Direta
Inexigibilidade</t>
  </si>
  <si>
    <t>Contratação de 1.500 inscrições para profissionais da educação, que atuam na gestão escolar, participarem de treinamento e capacitação profissional, no evento formativo “A escola pública frente ao ODS 4: planejamento estratégico e atividades formativas”, promovido pelo Instituto Sustentabilidade Brasil (ISB), na modalidade presencial, no formato de imersão, a ser realizado no período estimado de 10/12 a 12/12/2025 e 20/01/2026 a 22/01/2026.</t>
  </si>
  <si>
    <t>PCA SEDU 2025 - DESCENTRALIZAÇÕES - VERSÃO 20 - 04/12/2025</t>
  </si>
  <si>
    <t>PCA SEDU 2025 - CONTRATAÇÕES EM ANDAMENTO-PRORROGADAS - VERSÃO 20 - 04/11/2025</t>
  </si>
  <si>
    <t>PCA SEDU 2025 - NOVAS CONTRATAÇÕES - VERSÃO 20 - 04/12/2025</t>
  </si>
  <si>
    <t>ServiçoServiço</t>
  </si>
  <si>
    <t>Jéssica Tesch Gonçalves.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</si>
</sst>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44" formatCode="_-&quot;R$&quot;\ * #,##0.00_-;\-&quot;R$&quot;\ * #,##0.00_-;_-&quot;R$&quot;\ * &quot;-&quot;??_-;_-@_-"/>
    <numFmt numFmtId="164" formatCode="&quot;R$&quot;\ #,##0.00"/>
    <numFmt numFmtId="165" formatCode="&quot;R$&quot;\ #,##0.0000000;[Red]\-&quot;R$&quot;\ #,##0.0000000"/>
  </numFmts>
  <fonts count="12" x14ac:knownFonts="1">
    <font>
      <sz val="11"/>
      <color theme="1"/>
      <name val="Calibri"/>
      <family val="2"/>
      <scheme val="minor"/>
    </font>
    <font>
      <sz val="11"/>
      <color theme="1"/>
      <name val="Calibri"/>
      <family val="2"/>
      <scheme val="minor"/>
    </font>
    <font>
      <sz val="8"/>
      <color theme="1"/>
      <name val="Arial"/>
      <family val="2"/>
    </font>
    <font>
      <sz val="8"/>
      <name val="Arial"/>
      <family val="2"/>
    </font>
    <font>
      <sz val="8"/>
      <color rgb="FFFF0000"/>
      <name val="Arial"/>
      <family val="2"/>
    </font>
    <font>
      <sz val="8"/>
      <color rgb="FF000000"/>
      <name val="Arial"/>
      <family val="2"/>
    </font>
    <font>
      <sz val="9"/>
      <color rgb="FF212529"/>
      <name val="Roboto"/>
    </font>
    <font>
      <b/>
      <sz val="8"/>
      <color theme="1"/>
      <name val="Arial"/>
      <family val="2"/>
    </font>
    <font>
      <b/>
      <sz val="14"/>
      <color theme="1"/>
      <name val="Arial"/>
      <family val="2"/>
    </font>
    <font>
      <b/>
      <sz val="12"/>
      <color theme="1"/>
      <name val="Arial"/>
      <family val="2"/>
    </font>
    <font>
      <sz val="8"/>
      <color rgb="FF212529"/>
      <name val="Arial"/>
      <family val="2"/>
    </font>
    <font>
      <b/>
      <sz val="8"/>
      <color rgb="FFFF0000"/>
      <name val="Arial"/>
      <family val="2"/>
    </font>
  </fonts>
  <fills count="24">
    <fill>
      <patternFill patternType="none"/>
    </fill>
    <fill>
      <patternFill patternType="gray125"/>
    </fill>
    <fill>
      <patternFill patternType="solid">
        <fgColor theme="4" tint="0.59999389629810485"/>
        <bgColor indexed="64"/>
      </patternFill>
    </fill>
    <fill>
      <patternFill patternType="solid">
        <fgColor theme="0"/>
        <bgColor rgb="FFFFF2CC"/>
      </patternFill>
    </fill>
    <fill>
      <patternFill patternType="solid">
        <fgColor theme="0"/>
        <bgColor indexed="64"/>
      </patternFill>
    </fill>
    <fill>
      <patternFill patternType="solid">
        <fgColor theme="0"/>
        <bgColor rgb="FFC5E0B3"/>
      </patternFill>
    </fill>
    <fill>
      <patternFill patternType="solid">
        <fgColor theme="9" tint="0.79998168889431442"/>
        <bgColor indexed="64"/>
      </patternFill>
    </fill>
    <fill>
      <patternFill patternType="solid">
        <fgColor theme="9" tint="0.79998168889431442"/>
        <bgColor rgb="FFC5E0B3"/>
      </patternFill>
    </fill>
    <fill>
      <patternFill patternType="solid">
        <fgColor theme="0"/>
        <bgColor rgb="FFFFFFFF"/>
      </patternFill>
    </fill>
    <fill>
      <patternFill patternType="solid">
        <fgColor theme="5" tint="0.79998168889431442"/>
        <bgColor indexed="64"/>
      </patternFill>
    </fill>
    <fill>
      <patternFill patternType="solid">
        <fgColor theme="5" tint="0.79998168889431442"/>
        <bgColor rgb="FFC5E0B3"/>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4.9989318521683403E-2"/>
        <bgColor rgb="FFC5E0B3"/>
      </patternFill>
    </fill>
    <fill>
      <patternFill patternType="solid">
        <fgColor rgb="FFFFFFCC"/>
        <bgColor rgb="FFC5E0B3"/>
      </patternFill>
    </fill>
    <fill>
      <patternFill patternType="solid">
        <fgColor rgb="FFFFCCCC"/>
        <bgColor indexed="64"/>
      </patternFill>
    </fill>
    <fill>
      <patternFill patternType="solid">
        <fgColor rgb="FFFFCCCC"/>
        <bgColor rgb="FFC5E0B3"/>
      </patternFill>
    </fill>
    <fill>
      <patternFill patternType="solid">
        <fgColor theme="8" tint="0.79998168889431442"/>
        <bgColor indexed="64"/>
      </patternFill>
    </fill>
    <fill>
      <patternFill patternType="solid">
        <fgColor theme="8" tint="0.79998168889431442"/>
        <bgColor rgb="FFC5E0B3"/>
      </patternFill>
    </fill>
    <fill>
      <patternFill patternType="solid">
        <fgColor theme="7" tint="0.79998168889431442"/>
        <bgColor indexed="64"/>
      </patternFill>
    </fill>
    <fill>
      <patternFill patternType="solid">
        <fgColor theme="7" tint="0.79998168889431442"/>
        <bgColor rgb="FFC5E0B3"/>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126">
    <xf numFmtId="0" fontId="0" fillId="0" borderId="0" xfId="0"/>
    <xf numFmtId="0" fontId="2"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0" borderId="0" xfId="0" applyFont="1" applyAlignment="1">
      <alignment horizontal="center" vertical="center" wrapText="1"/>
    </xf>
    <xf numFmtId="44" fontId="2" fillId="2" borderId="1" xfId="1" applyFont="1" applyFill="1" applyBorder="1" applyAlignment="1">
      <alignment horizontal="center" vertical="center" wrapText="1"/>
    </xf>
    <xf numFmtId="0" fontId="5" fillId="3" borderId="1" xfId="0" applyFont="1" applyFill="1" applyBorder="1" applyAlignment="1">
      <alignment horizontal="center" vertical="center" wrapText="1"/>
    </xf>
    <xf numFmtId="44" fontId="2" fillId="4" borderId="1" xfId="1"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2" fillId="4" borderId="0" xfId="0" applyFont="1" applyFill="1" applyAlignment="1">
      <alignment horizontal="center" vertical="center" wrapText="1"/>
    </xf>
    <xf numFmtId="44" fontId="2" fillId="0" borderId="0" xfId="1" applyFont="1" applyAlignment="1">
      <alignment horizontal="center" vertical="center" wrapText="1"/>
    </xf>
    <xf numFmtId="164" fontId="2" fillId="5" borderId="1" xfId="0" applyNumberFormat="1" applyFont="1" applyFill="1" applyBorder="1" applyAlignment="1">
      <alignment horizontal="center" vertical="center" wrapText="1"/>
    </xf>
    <xf numFmtId="0" fontId="2" fillId="4" borderId="1" xfId="0" applyFont="1" applyFill="1" applyBorder="1" applyAlignment="1">
      <alignment horizontal="justify" vertical="center" wrapText="1"/>
    </xf>
    <xf numFmtId="8" fontId="2" fillId="4" borderId="1" xfId="0" applyNumberFormat="1" applyFont="1" applyFill="1" applyBorder="1" applyAlignment="1">
      <alignment horizontal="center" vertical="center" wrapText="1"/>
    </xf>
    <xf numFmtId="44" fontId="2"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8" fontId="2" fillId="5" borderId="1" xfId="0" applyNumberFormat="1" applyFont="1" applyFill="1" applyBorder="1" applyAlignment="1">
      <alignment horizontal="center" vertical="center" wrapText="1"/>
    </xf>
    <xf numFmtId="44" fontId="3" fillId="4" borderId="1" xfId="1" applyFont="1" applyFill="1" applyBorder="1" applyAlignment="1">
      <alignment horizontal="center" vertical="center" wrapText="1"/>
    </xf>
    <xf numFmtId="4" fontId="2" fillId="0" borderId="0" xfId="0" applyNumberFormat="1" applyFont="1" applyAlignment="1">
      <alignment horizontal="center" vertical="center" wrapText="1"/>
    </xf>
    <xf numFmtId="8" fontId="7" fillId="0" borderId="0" xfId="0" applyNumberFormat="1" applyFont="1" applyAlignment="1">
      <alignment horizontal="center" vertical="center" wrapText="1"/>
    </xf>
    <xf numFmtId="165" fontId="2" fillId="0" borderId="1" xfId="0" applyNumberFormat="1" applyFont="1" applyBorder="1" applyAlignment="1">
      <alignment horizontal="center" vertical="center" wrapText="1"/>
    </xf>
    <xf numFmtId="0" fontId="2" fillId="4" borderId="4" xfId="0" applyFont="1" applyFill="1" applyBorder="1" applyAlignment="1">
      <alignment horizontal="center" vertical="center" wrapText="1"/>
    </xf>
    <xf numFmtId="44" fontId="2" fillId="5" borderId="1" xfId="1"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4" fontId="2" fillId="4" borderId="1" xfId="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8" fontId="2" fillId="4" borderId="1" xfId="1"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3" fillId="4" borderId="1" xfId="0" applyFont="1" applyFill="1" applyBorder="1" applyAlignment="1">
      <alignment horizontal="justify" vertical="center" wrapText="1"/>
    </xf>
    <xf numFmtId="0" fontId="2" fillId="0" borderId="0" xfId="0" applyFont="1" applyAlignment="1">
      <alignment horizontal="justify" vertical="center" wrapText="1"/>
    </xf>
    <xf numFmtId="0" fontId="7" fillId="6" borderId="1" xfId="0" applyFont="1" applyFill="1" applyBorder="1" applyAlignment="1">
      <alignment horizontal="center" vertical="center" wrapText="1"/>
    </xf>
    <xf numFmtId="0" fontId="7" fillId="0" borderId="0" xfId="0" applyFont="1" applyAlignment="1">
      <alignment horizontal="center" vertical="center" wrapText="1"/>
    </xf>
    <xf numFmtId="0" fontId="2" fillId="9"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4" fontId="2" fillId="2" borderId="2" xfId="1" applyFont="1" applyFill="1" applyBorder="1" applyAlignment="1">
      <alignment horizontal="center" vertical="center" wrapText="1"/>
    </xf>
    <xf numFmtId="0" fontId="7" fillId="6" borderId="2" xfId="0" applyFont="1" applyFill="1" applyBorder="1" applyAlignment="1">
      <alignment horizontal="center" vertical="center" wrapText="1"/>
    </xf>
    <xf numFmtId="44" fontId="7" fillId="7" borderId="1" xfId="1" applyFont="1" applyFill="1" applyBorder="1" applyAlignment="1">
      <alignment horizontal="center" vertical="center" wrapText="1"/>
    </xf>
    <xf numFmtId="44" fontId="2" fillId="8" borderId="1" xfId="1" applyFont="1" applyFill="1" applyBorder="1" applyAlignment="1">
      <alignment horizontal="center" vertical="center" wrapText="1"/>
    </xf>
    <xf numFmtId="44" fontId="2" fillId="4" borderId="0" xfId="1"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14" fontId="2" fillId="9" borderId="1" xfId="0" applyNumberFormat="1" applyFont="1" applyFill="1" applyBorder="1" applyAlignment="1">
      <alignment horizontal="center" vertical="center" wrapText="1"/>
    </xf>
    <xf numFmtId="0" fontId="2" fillId="9" borderId="1" xfId="0" applyFont="1" applyFill="1" applyBorder="1" applyAlignment="1">
      <alignment horizontal="justify" vertical="center" wrapText="1"/>
    </xf>
    <xf numFmtId="44" fontId="2" fillId="10" borderId="1" xfId="1" applyFont="1" applyFill="1" applyBorder="1" applyAlignment="1">
      <alignment horizontal="center" vertical="center" wrapText="1"/>
    </xf>
    <xf numFmtId="3" fontId="2" fillId="9" borderId="1" xfId="0" applyNumberFormat="1" applyFont="1" applyFill="1" applyBorder="1" applyAlignment="1">
      <alignment horizontal="center" vertical="center" wrapText="1"/>
    </xf>
    <xf numFmtId="14" fontId="2" fillId="4" borderId="0" xfId="0" applyNumberFormat="1" applyFont="1" applyFill="1" applyAlignment="1">
      <alignment horizontal="center" vertical="center" wrapText="1"/>
    </xf>
    <xf numFmtId="0" fontId="4" fillId="0" borderId="0" xfId="0" applyFont="1" applyAlignment="1">
      <alignment horizontal="center" vertical="center" wrapText="1"/>
    </xf>
    <xf numFmtId="44" fontId="2" fillId="0" borderId="1" xfId="1" applyFont="1" applyBorder="1" applyAlignment="1">
      <alignment horizontal="center" vertical="center" wrapText="1"/>
    </xf>
    <xf numFmtId="44" fontId="2" fillId="11" borderId="1" xfId="1" applyFont="1" applyFill="1" applyBorder="1" applyAlignment="1">
      <alignment horizontal="center" vertical="center" wrapText="1"/>
    </xf>
    <xf numFmtId="44" fontId="2" fillId="12" borderId="1" xfId="1" applyFont="1" applyFill="1" applyBorder="1" applyAlignment="1">
      <alignment horizontal="center" vertical="center" wrapText="1"/>
    </xf>
    <xf numFmtId="44" fontId="2" fillId="11" borderId="2" xfId="1" applyFont="1" applyFill="1" applyBorder="1" applyAlignment="1">
      <alignment horizontal="center" vertical="center" wrapText="1"/>
    </xf>
    <xf numFmtId="0" fontId="10" fillId="4"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44" fontId="2" fillId="13" borderId="1" xfId="1" applyFont="1" applyFill="1" applyBorder="1" applyAlignment="1">
      <alignment horizontal="center" vertical="center" wrapText="1"/>
    </xf>
    <xf numFmtId="14" fontId="2" fillId="13" borderId="1" xfId="0" applyNumberFormat="1" applyFont="1" applyFill="1" applyBorder="1" applyAlignment="1">
      <alignment horizontal="center" vertical="center" wrapText="1"/>
    </xf>
    <xf numFmtId="0" fontId="4" fillId="13" borderId="1"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9" fillId="0" borderId="6" xfId="0" applyFont="1" applyBorder="1" applyAlignment="1">
      <alignment vertical="center" wrapText="1"/>
    </xf>
    <xf numFmtId="0" fontId="7" fillId="0" borderId="8" xfId="0" applyFont="1" applyBorder="1" applyAlignment="1">
      <alignment vertical="center" wrapText="1"/>
    </xf>
    <xf numFmtId="0" fontId="2" fillId="14" borderId="1" xfId="0" applyFont="1" applyFill="1" applyBorder="1" applyAlignment="1">
      <alignment horizontal="center" vertical="center" wrapText="1"/>
    </xf>
    <xf numFmtId="0" fontId="2" fillId="14" borderId="1" xfId="0" applyFont="1" applyFill="1" applyBorder="1" applyAlignment="1">
      <alignment horizontal="justify" vertical="center" wrapText="1"/>
    </xf>
    <xf numFmtId="44" fontId="2" fillId="15" borderId="1" xfId="1" applyFont="1" applyFill="1" applyBorder="1" applyAlignment="1">
      <alignment horizontal="center" vertical="center" wrapText="1"/>
    </xf>
    <xf numFmtId="14" fontId="2" fillId="14" borderId="1" xfId="0" applyNumberFormat="1" applyFont="1" applyFill="1" applyBorder="1" applyAlignment="1">
      <alignment horizontal="center" vertical="center" wrapText="1"/>
    </xf>
    <xf numFmtId="44" fontId="2" fillId="14" borderId="1" xfId="1" applyFont="1" applyFill="1" applyBorder="1" applyAlignment="1">
      <alignment horizontal="center" vertical="center" wrapText="1"/>
    </xf>
    <xf numFmtId="0" fontId="2" fillId="4" borderId="3" xfId="0" applyFont="1" applyFill="1" applyBorder="1" applyAlignment="1">
      <alignment horizontal="justify" vertical="center" wrapText="1"/>
    </xf>
    <xf numFmtId="44" fontId="2" fillId="5" borderId="3" xfId="1" applyFont="1" applyFill="1" applyBorder="1" applyAlignment="1">
      <alignment horizontal="center" vertical="center" wrapText="1"/>
    </xf>
    <xf numFmtId="0" fontId="2" fillId="0" borderId="3" xfId="0" applyFont="1" applyBorder="1" applyAlignment="1">
      <alignment horizontal="center" vertical="center" wrapText="1"/>
    </xf>
    <xf numFmtId="14" fontId="2" fillId="4" borderId="3" xfId="0" applyNumberFormat="1"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9" borderId="3" xfId="0" applyFont="1" applyFill="1" applyBorder="1" applyAlignment="1">
      <alignment horizontal="justify" vertical="center" wrapText="1"/>
    </xf>
    <xf numFmtId="3" fontId="2" fillId="9" borderId="3" xfId="0" applyNumberFormat="1" applyFont="1" applyFill="1" applyBorder="1" applyAlignment="1">
      <alignment horizontal="center" vertical="center" wrapText="1"/>
    </xf>
    <xf numFmtId="44" fontId="2" fillId="10" borderId="3" xfId="1" applyFont="1" applyFill="1" applyBorder="1" applyAlignment="1">
      <alignment horizontal="center" vertical="center" wrapText="1"/>
    </xf>
    <xf numFmtId="3" fontId="2" fillId="4" borderId="3"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8" fontId="2" fillId="5"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14" borderId="1" xfId="0" applyNumberFormat="1" applyFont="1" applyFill="1" applyBorder="1" applyAlignment="1">
      <alignment horizontal="center" vertical="center" wrapText="1"/>
    </xf>
    <xf numFmtId="4" fontId="2" fillId="14" borderId="1" xfId="0" applyNumberFormat="1" applyFont="1" applyFill="1" applyBorder="1" applyAlignment="1">
      <alignment horizontal="center" vertical="center" wrapText="1"/>
    </xf>
    <xf numFmtId="0" fontId="3" fillId="14" borderId="1" xfId="0" applyFont="1" applyFill="1" applyBorder="1" applyAlignment="1">
      <alignment horizontal="center" vertical="center" wrapText="1"/>
    </xf>
    <xf numFmtId="0" fontId="2" fillId="13" borderId="1" xfId="0" applyFont="1" applyFill="1" applyBorder="1" applyAlignment="1">
      <alignment horizontal="justify" vertical="center" wrapText="1"/>
    </xf>
    <xf numFmtId="44" fontId="2" fillId="16" borderId="1" xfId="1" applyFont="1" applyFill="1" applyBorder="1" applyAlignment="1">
      <alignment horizontal="center" vertical="center" wrapText="1"/>
    </xf>
    <xf numFmtId="3" fontId="2" fillId="13" borderId="1" xfId="0" applyNumberFormat="1"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17" borderId="1" xfId="0" applyFont="1" applyFill="1" applyBorder="1" applyAlignment="1">
      <alignment horizontal="justify" vertical="center" wrapText="1"/>
    </xf>
    <xf numFmtId="44" fontId="4" fillId="18" borderId="1" xfId="1" applyFont="1" applyFill="1" applyBorder="1" applyAlignment="1">
      <alignment horizontal="center" vertical="center" wrapText="1"/>
    </xf>
    <xf numFmtId="14" fontId="4" fillId="17" borderId="1" xfId="0" applyNumberFormat="1" applyFont="1" applyFill="1" applyBorder="1" applyAlignment="1">
      <alignment horizontal="center" vertical="center" wrapText="1"/>
    </xf>
    <xf numFmtId="14" fontId="3" fillId="14" borderId="1" xfId="0" applyNumberFormat="1" applyFont="1" applyFill="1" applyBorder="1" applyAlignment="1">
      <alignment horizontal="center" vertical="center" wrapText="1"/>
    </xf>
    <xf numFmtId="0" fontId="11" fillId="11" borderId="1" xfId="0" applyFont="1" applyFill="1" applyBorder="1" applyAlignment="1">
      <alignment horizontal="center" vertical="center" wrapText="1"/>
    </xf>
    <xf numFmtId="44" fontId="3" fillId="15" borderId="1" xfId="1" applyFont="1" applyFill="1" applyBorder="1" applyAlignment="1">
      <alignment horizontal="center" vertical="center" wrapText="1"/>
    </xf>
    <xf numFmtId="0" fontId="4" fillId="17" borderId="3" xfId="0" applyFont="1" applyFill="1" applyBorder="1" applyAlignment="1">
      <alignment horizontal="center" vertical="center" wrapText="1"/>
    </xf>
    <xf numFmtId="0" fontId="4" fillId="17" borderId="3" xfId="0" applyFont="1" applyFill="1" applyBorder="1" applyAlignment="1">
      <alignment horizontal="justify" vertical="center" wrapText="1"/>
    </xf>
    <xf numFmtId="44" fontId="2" fillId="13" borderId="0" xfId="1" applyFont="1" applyFill="1" applyBorder="1" applyAlignment="1">
      <alignment horizontal="center" vertical="center" wrapText="1"/>
    </xf>
    <xf numFmtId="0" fontId="4" fillId="17" borderId="2"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3" fillId="14" borderId="1" xfId="0" applyFont="1" applyFill="1" applyBorder="1" applyAlignment="1">
      <alignment horizontal="justify" vertical="center" wrapText="1"/>
    </xf>
    <xf numFmtId="0" fontId="7" fillId="19" borderId="1" xfId="0" applyFont="1" applyFill="1" applyBorder="1" applyAlignment="1">
      <alignment horizontal="center" vertical="center" wrapText="1"/>
    </xf>
    <xf numFmtId="0" fontId="7" fillId="19" borderId="1" xfId="0" applyFont="1" applyFill="1" applyBorder="1" applyAlignment="1">
      <alignment horizontal="justify" vertical="center" wrapText="1"/>
    </xf>
    <xf numFmtId="44" fontId="7" fillId="20" borderId="1" xfId="1" applyFont="1" applyFill="1" applyBorder="1" applyAlignment="1">
      <alignment horizontal="center" vertical="center" wrapText="1"/>
    </xf>
    <xf numFmtId="0" fontId="7" fillId="21" borderId="1" xfId="0" applyFont="1" applyFill="1" applyBorder="1" applyAlignment="1">
      <alignment horizontal="center" vertical="center" wrapText="1"/>
    </xf>
    <xf numFmtId="0" fontId="2" fillId="21" borderId="1" xfId="0" applyFont="1" applyFill="1" applyBorder="1" applyAlignment="1">
      <alignment horizontal="center" vertical="center" wrapText="1"/>
    </xf>
    <xf numFmtId="0" fontId="7" fillId="21" borderId="1" xfId="0" applyFont="1" applyFill="1" applyBorder="1" applyAlignment="1">
      <alignment horizontal="justify" vertical="center" wrapText="1"/>
    </xf>
    <xf numFmtId="0" fontId="2" fillId="21" borderId="2" xfId="0" applyFont="1" applyFill="1" applyBorder="1" applyAlignment="1">
      <alignment horizontal="center" vertical="center" wrapText="1"/>
    </xf>
    <xf numFmtId="44" fontId="7" fillId="22" borderId="1" xfId="1" applyFont="1" applyFill="1" applyBorder="1" applyAlignment="1">
      <alignment horizontal="center" vertical="center" wrapText="1"/>
    </xf>
    <xf numFmtId="44" fontId="2" fillId="21" borderId="1" xfId="1" applyFont="1" applyFill="1" applyBorder="1" applyAlignment="1">
      <alignment horizontal="center" vertical="center" wrapText="1"/>
    </xf>
    <xf numFmtId="44" fontId="2" fillId="21" borderId="2" xfId="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5" fillId="23" borderId="1" xfId="0" applyFont="1" applyFill="1" applyBorder="1" applyAlignment="1">
      <alignment horizontal="center" vertical="center" wrapText="1"/>
    </xf>
    <xf numFmtId="0" fontId="5" fillId="23" borderId="1" xfId="0" applyFont="1" applyFill="1" applyBorder="1" applyAlignment="1">
      <alignment horizontal="justify" vertical="center" wrapText="1"/>
    </xf>
    <xf numFmtId="0" fontId="5" fillId="23" borderId="0" xfId="0" applyFont="1" applyFill="1" applyAlignment="1">
      <alignment horizontal="justify" vertical="center" wrapText="1"/>
    </xf>
    <xf numFmtId="14" fontId="5" fillId="23" borderId="1" xfId="0" applyNumberFormat="1"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wrapText="1"/>
    </xf>
    <xf numFmtId="0" fontId="8" fillId="0" borderId="7" xfId="0" applyFont="1" applyBorder="1" applyAlignment="1">
      <alignment horizontal="center" vertical="center" wrapText="1"/>
    </xf>
    <xf numFmtId="0" fontId="8" fillId="0" borderId="7" xfId="0" applyFont="1" applyBorder="1" applyAlignment="1">
      <alignment horizontal="center" wrapText="1"/>
    </xf>
    <xf numFmtId="44" fontId="9" fillId="0" borderId="0" xfId="1" applyFont="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center" vertical="center" wrapText="1"/>
    </xf>
    <xf numFmtId="0" fontId="8" fillId="0" borderId="0" xfId="0" applyFont="1" applyAlignment="1">
      <alignment horizontal="justify" vertical="center" wrapText="1"/>
    </xf>
    <xf numFmtId="0" fontId="2" fillId="0" borderId="7" xfId="0" applyFont="1" applyBorder="1" applyAlignment="1">
      <alignment horizontal="center" vertical="center" wrapText="1"/>
    </xf>
    <xf numFmtId="44" fontId="8" fillId="0" borderId="0" xfId="1" applyFont="1" applyBorder="1" applyAlignment="1">
      <alignment horizontal="center" vertical="center" wrapText="1"/>
    </xf>
    <xf numFmtId="0" fontId="2" fillId="0" borderId="5" xfId="0" applyFont="1" applyBorder="1" applyAlignment="1">
      <alignment horizontal="center" vertical="center" wrapText="1"/>
    </xf>
  </cellXfs>
  <cellStyles count="2">
    <cellStyle name="Moeda" xfId="1" builtin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402647</xdr:colOff>
      <xdr:row>0</xdr:row>
      <xdr:rowOff>123380</xdr:rowOff>
    </xdr:from>
    <xdr:to>
      <xdr:col>6</xdr:col>
      <xdr:colOff>855806</xdr:colOff>
      <xdr:row>0</xdr:row>
      <xdr:rowOff>644405</xdr:rowOff>
    </xdr:to>
    <xdr:pic>
      <xdr:nvPicPr>
        <xdr:cNvPr id="2" name="image1.png">
          <a:extLst>
            <a:ext uri="{FF2B5EF4-FFF2-40B4-BE49-F238E27FC236}">
              <a16:creationId xmlns:a16="http://schemas.microsoft.com/office/drawing/2014/main" id="{69E3B4D6-58A2-49FE-A804-8FE6BED6E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27988" y="123380"/>
          <a:ext cx="453159" cy="52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405245</xdr:colOff>
      <xdr:row>0</xdr:row>
      <xdr:rowOff>24376</xdr:rowOff>
    </xdr:from>
    <xdr:to>
      <xdr:col>6</xdr:col>
      <xdr:colOff>864177</xdr:colOff>
      <xdr:row>0</xdr:row>
      <xdr:rowOff>507301</xdr:rowOff>
    </xdr:to>
    <xdr:pic>
      <xdr:nvPicPr>
        <xdr:cNvPr id="2" name="image1.png">
          <a:extLst>
            <a:ext uri="{FF2B5EF4-FFF2-40B4-BE49-F238E27FC236}">
              <a16:creationId xmlns:a16="http://schemas.microsoft.com/office/drawing/2014/main" id="{47CC4CF9-8AFB-483E-8EE6-B59FF5EC56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24895" y="24376"/>
          <a:ext cx="458932" cy="48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405245</xdr:colOff>
      <xdr:row>0</xdr:row>
      <xdr:rowOff>24376</xdr:rowOff>
    </xdr:from>
    <xdr:to>
      <xdr:col>6</xdr:col>
      <xdr:colOff>864177</xdr:colOff>
      <xdr:row>0</xdr:row>
      <xdr:rowOff>507301</xdr:rowOff>
    </xdr:to>
    <xdr:pic>
      <xdr:nvPicPr>
        <xdr:cNvPr id="2" name="image1.png">
          <a:extLst>
            <a:ext uri="{FF2B5EF4-FFF2-40B4-BE49-F238E27FC236}">
              <a16:creationId xmlns:a16="http://schemas.microsoft.com/office/drawing/2014/main" id="{F8F0913F-16E2-463A-9683-5DA5E7353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2045" y="24376"/>
          <a:ext cx="458932" cy="48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Ines Yoriko Yamamoto" id="{F46B3F00-4CB4-4E71-9621-8CFD4F41097D}" userId="S::iyyamamoto@sedu.es.gov.br::883d16b9-ef59-4661-90c7-498e9b477a98" providerId="AD"/>
</personList>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64" dT="2025-05-15T18:07:13.31" personId="{F46B3F00-4CB4-4E71-9621-8CFD4F41097D}" id="{BA1924AF-BB43-4DF8-95C6-90D92F10D5FB}">
    <text>15/05/2025: Redução de R$ 7.603,00 conforme encaminhamento 2025-2CN0VP.</text>
  </threadedComment>
  <threadedComment ref="B138" dT="2025-05-15T18:23:47.54" personId="{F46B3F00-4CB4-4E71-9621-8CFD4F41097D}" id="{514E264B-F197-4290-A3FD-07D353423348}">
    <text>15/05/2025: Alteração de valor realizada conforme encaminhamento 2025-MTH8WT.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C671A-4FD4-4843-BF10-E4E8430D78B8}">
  <sheetPr filterMode="1"/>
  <dimension ref="A1:CD520"/>
  <sheetViews>
    <sheetView showGridLines="0" view="pageBreakPreview" topLeftCell="A262" zoomScale="110" zoomScaleNormal="110" zoomScaleSheetLayoutView="110" workbookViewId="0">
      <selection sqref="A1:BY281"/>
    </sheetView>
  </sheetViews>
  <sheetFormatPr defaultColWidth="14.42578125" defaultRowHeight="60" customHeight="1" x14ac:dyDescent="0.25"/>
  <cols>
    <col min="1" max="1" width="21.42578125" style="4" customWidth="1"/>
    <col min="2" max="2" width="18" style="4" hidden="1" customWidth="1"/>
    <col min="3" max="3" width="13.140625" style="4" bestFit="1" customWidth="1"/>
    <col min="4" max="4" width="29.5703125" style="35" customWidth="1"/>
    <col min="5" max="5" width="17.42578125" style="4" hidden="1" customWidth="1"/>
    <col min="6" max="6" width="15.7109375" style="4" customWidth="1"/>
    <col min="7" max="7" width="15.28515625" style="4" customWidth="1"/>
    <col min="8" max="8" width="11.85546875" style="4" customWidth="1"/>
    <col min="9" max="9" width="12.28515625" style="4" customWidth="1"/>
    <col min="10" max="10" width="12.7109375" style="4" customWidth="1"/>
    <col min="11" max="11" width="14" style="4" customWidth="1"/>
    <col min="12" max="12" width="19.7109375" style="10" bestFit="1" customWidth="1"/>
    <col min="13" max="13" width="19.5703125" style="10" bestFit="1" customWidth="1"/>
    <col min="14" max="14" width="21.5703125" style="4" customWidth="1"/>
    <col min="15" max="74" width="21.5703125" style="10" hidden="1" customWidth="1"/>
    <col min="75" max="75" width="15.28515625" style="4" customWidth="1"/>
    <col min="76" max="76" width="14.42578125" style="4" hidden="1" customWidth="1"/>
    <col min="77" max="77" width="15" style="4" bestFit="1" customWidth="1"/>
    <col min="78" max="78" width="14.42578125" style="4" hidden="1" customWidth="1"/>
    <col min="79" max="79" width="17" style="4" hidden="1" customWidth="1"/>
    <col min="80" max="80" width="14.42578125" style="4" hidden="1" customWidth="1"/>
    <col min="81" max="81" width="17.42578125" style="4" hidden="1" customWidth="1"/>
    <col min="82" max="82" width="26.5703125" style="4" customWidth="1"/>
    <col min="83" max="16384" width="14.42578125" style="4"/>
  </cols>
  <sheetData>
    <row r="1" spans="1:82" ht="60" customHeight="1" x14ac:dyDescent="0.25">
      <c r="A1" s="115" t="s">
        <v>2139</v>
      </c>
      <c r="B1" s="116"/>
      <c r="C1" s="115"/>
      <c r="D1" s="115"/>
      <c r="E1" s="116"/>
      <c r="F1" s="115"/>
      <c r="G1" s="115"/>
      <c r="H1" s="115"/>
      <c r="I1" s="115"/>
      <c r="J1" s="115"/>
      <c r="K1" s="115"/>
      <c r="L1" s="115"/>
      <c r="M1" s="115"/>
      <c r="N1" s="115"/>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5"/>
      <c r="BX1" s="116"/>
      <c r="BY1" s="115"/>
      <c r="BZ1" s="63"/>
      <c r="CD1" s="51"/>
    </row>
    <row r="2" spans="1:82" ht="18" customHeight="1" x14ac:dyDescent="0.25">
      <c r="A2" s="117" t="s">
        <v>2173</v>
      </c>
      <c r="B2" s="118"/>
      <c r="C2" s="117"/>
      <c r="D2" s="117"/>
      <c r="E2" s="118"/>
      <c r="F2" s="117"/>
      <c r="G2" s="117"/>
      <c r="H2" s="117"/>
      <c r="I2" s="117"/>
      <c r="J2" s="117"/>
      <c r="K2" s="117"/>
      <c r="L2" s="117"/>
      <c r="M2" s="117"/>
      <c r="N2" s="117"/>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7"/>
      <c r="BX2" s="118"/>
      <c r="BY2" s="117"/>
      <c r="BZ2" s="62"/>
    </row>
    <row r="3" spans="1:82" s="37" customFormat="1" ht="92.25" customHeight="1" x14ac:dyDescent="0.25">
      <c r="A3" s="36" t="s">
        <v>2141</v>
      </c>
      <c r="B3" s="39" t="s">
        <v>0</v>
      </c>
      <c r="C3" s="36" t="s">
        <v>1150</v>
      </c>
      <c r="D3" s="36" t="s">
        <v>1</v>
      </c>
      <c r="E3" s="39" t="s">
        <v>2</v>
      </c>
      <c r="F3" s="36" t="s">
        <v>3</v>
      </c>
      <c r="G3" s="36" t="s">
        <v>1658</v>
      </c>
      <c r="H3" s="36" t="s">
        <v>4</v>
      </c>
      <c r="I3" s="36" t="s">
        <v>5</v>
      </c>
      <c r="J3" s="36" t="s">
        <v>6</v>
      </c>
      <c r="K3" s="36" t="s">
        <v>7</v>
      </c>
      <c r="L3" s="42" t="s">
        <v>8</v>
      </c>
      <c r="M3" s="42" t="s">
        <v>1631</v>
      </c>
      <c r="N3" s="36" t="s">
        <v>9</v>
      </c>
      <c r="O3" s="5" t="s">
        <v>10</v>
      </c>
      <c r="P3" s="54" t="s">
        <v>1920</v>
      </c>
      <c r="Q3" s="54" t="s">
        <v>1921</v>
      </c>
      <c r="R3" s="5" t="s">
        <v>1130</v>
      </c>
      <c r="S3" s="5" t="s">
        <v>1134</v>
      </c>
      <c r="T3" s="5" t="s">
        <v>1135</v>
      </c>
      <c r="U3" s="5" t="s">
        <v>11</v>
      </c>
      <c r="V3" s="5" t="s">
        <v>50</v>
      </c>
      <c r="W3" s="5" t="s">
        <v>12</v>
      </c>
      <c r="X3" s="5" t="s">
        <v>13</v>
      </c>
      <c r="Y3" s="53" t="s">
        <v>51</v>
      </c>
      <c r="Z3" s="53" t="s">
        <v>52</v>
      </c>
      <c r="AA3" s="5" t="s">
        <v>14</v>
      </c>
      <c r="AB3" s="5" t="s">
        <v>15</v>
      </c>
      <c r="AC3" s="53" t="s">
        <v>53</v>
      </c>
      <c r="AD3" s="5" t="s">
        <v>16</v>
      </c>
      <c r="AE3" s="5" t="s">
        <v>17</v>
      </c>
      <c r="AF3" s="5" t="s">
        <v>46</v>
      </c>
      <c r="AG3" s="5" t="s">
        <v>48</v>
      </c>
      <c r="AH3" s="5" t="s">
        <v>49</v>
      </c>
      <c r="AI3" s="5" t="s">
        <v>47</v>
      </c>
      <c r="AJ3" s="54" t="s">
        <v>1922</v>
      </c>
      <c r="AK3" s="54" t="s">
        <v>1923</v>
      </c>
      <c r="AL3" s="54" t="s">
        <v>1924</v>
      </c>
      <c r="AM3" s="54" t="s">
        <v>1925</v>
      </c>
      <c r="AN3" s="53" t="s">
        <v>18</v>
      </c>
      <c r="AO3" s="53" t="s">
        <v>19</v>
      </c>
      <c r="AP3" s="54" t="s">
        <v>1926</v>
      </c>
      <c r="AQ3" s="5" t="s">
        <v>20</v>
      </c>
      <c r="AR3" s="5" t="s">
        <v>21</v>
      </c>
      <c r="AS3" s="5" t="s">
        <v>22</v>
      </c>
      <c r="AT3" s="5" t="s">
        <v>23</v>
      </c>
      <c r="AU3" s="5" t="s">
        <v>24</v>
      </c>
      <c r="AV3" s="5" t="s">
        <v>25</v>
      </c>
      <c r="AW3" s="53" t="s">
        <v>54</v>
      </c>
      <c r="AX3" s="53" t="s">
        <v>55</v>
      </c>
      <c r="AY3" s="5" t="s">
        <v>26</v>
      </c>
      <c r="AZ3" s="5" t="s">
        <v>43</v>
      </c>
      <c r="BA3" s="5" t="s">
        <v>44</v>
      </c>
      <c r="BB3" s="5" t="s">
        <v>45</v>
      </c>
      <c r="BC3" s="5" t="s">
        <v>27</v>
      </c>
      <c r="BD3" s="5" t="s">
        <v>28</v>
      </c>
      <c r="BE3" s="5" t="s">
        <v>29</v>
      </c>
      <c r="BF3" s="5" t="s">
        <v>30</v>
      </c>
      <c r="BG3" s="5" t="s">
        <v>31</v>
      </c>
      <c r="BH3" s="53" t="s">
        <v>56</v>
      </c>
      <c r="BI3" s="53" t="s">
        <v>57</v>
      </c>
      <c r="BJ3" s="53" t="s">
        <v>58</v>
      </c>
      <c r="BK3" s="55" t="s">
        <v>59</v>
      </c>
      <c r="BL3" s="5" t="s">
        <v>32</v>
      </c>
      <c r="BM3" s="5" t="s">
        <v>33</v>
      </c>
      <c r="BN3" s="5" t="s">
        <v>34</v>
      </c>
      <c r="BO3" s="53" t="s">
        <v>35</v>
      </c>
      <c r="BP3" s="5" t="s">
        <v>36</v>
      </c>
      <c r="BQ3" s="5" t="s">
        <v>37</v>
      </c>
      <c r="BR3" s="5" t="s">
        <v>38</v>
      </c>
      <c r="BS3" s="5" t="s">
        <v>39</v>
      </c>
      <c r="BT3" s="5" t="s">
        <v>40</v>
      </c>
      <c r="BU3" s="5" t="s">
        <v>41</v>
      </c>
      <c r="BV3" s="5" t="s">
        <v>42</v>
      </c>
      <c r="BW3" s="36" t="s">
        <v>60</v>
      </c>
      <c r="BX3" s="41" t="s">
        <v>61</v>
      </c>
      <c r="BY3" s="36" t="s">
        <v>1151</v>
      </c>
      <c r="BZ3" s="36" t="s">
        <v>1696</v>
      </c>
      <c r="CA3" s="4"/>
      <c r="CB3" s="4"/>
      <c r="CC3" s="4"/>
    </row>
    <row r="4" spans="1:82" s="9" customFormat="1" ht="50.25" customHeight="1" x14ac:dyDescent="0.25">
      <c r="A4" s="2" t="s">
        <v>1424</v>
      </c>
      <c r="B4" s="2" t="s">
        <v>1122</v>
      </c>
      <c r="C4" s="2" t="s">
        <v>681</v>
      </c>
      <c r="D4" s="12" t="s">
        <v>1123</v>
      </c>
      <c r="E4" s="2"/>
      <c r="F4" s="2" t="s">
        <v>72</v>
      </c>
      <c r="G4" s="2" t="s">
        <v>2017</v>
      </c>
      <c r="H4" s="2" t="s">
        <v>66</v>
      </c>
      <c r="I4" s="23" t="s">
        <v>1618</v>
      </c>
      <c r="J4" s="2" t="s">
        <v>1618</v>
      </c>
      <c r="K4" s="2" t="s">
        <v>67</v>
      </c>
      <c r="L4" s="7">
        <v>517310</v>
      </c>
      <c r="M4" s="7">
        <v>517310</v>
      </c>
      <c r="N4" s="2" t="s">
        <v>14</v>
      </c>
      <c r="O4" s="7"/>
      <c r="P4" s="7"/>
      <c r="Q4" s="7"/>
      <c r="R4" s="7"/>
      <c r="S4" s="7"/>
      <c r="T4" s="7"/>
      <c r="U4" s="7"/>
      <c r="V4" s="7"/>
      <c r="W4" s="7"/>
      <c r="X4" s="7"/>
      <c r="Y4" s="7"/>
      <c r="Z4" s="7"/>
      <c r="AA4" s="7">
        <v>517310</v>
      </c>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8">
        <v>45777</v>
      </c>
      <c r="BX4" s="2"/>
      <c r="BY4" s="2" t="s">
        <v>1801</v>
      </c>
      <c r="BZ4" s="21"/>
      <c r="CA4" s="14">
        <f t="shared" ref="CA4:CA6" si="0">SUM(O4:BV4)</f>
        <v>517310</v>
      </c>
      <c r="CB4" s="2" t="str">
        <f t="shared" ref="CB4:CB6" si="1">IF(M4=CA4,"OK","CORRIGIR")</f>
        <v>OK</v>
      </c>
      <c r="CC4" s="13">
        <f t="shared" ref="CC4:CC6" si="2">M4-CA4</f>
        <v>0</v>
      </c>
    </row>
    <row r="5" spans="1:82" s="9" customFormat="1" ht="78.75" customHeight="1" x14ac:dyDescent="0.25">
      <c r="A5" s="2" t="s">
        <v>1572</v>
      </c>
      <c r="B5" s="2" t="s">
        <v>1067</v>
      </c>
      <c r="C5" s="2" t="s">
        <v>1051</v>
      </c>
      <c r="D5" s="12" t="s">
        <v>1068</v>
      </c>
      <c r="E5" s="2"/>
      <c r="F5" s="2" t="s">
        <v>72</v>
      </c>
      <c r="G5" s="2" t="s">
        <v>2017</v>
      </c>
      <c r="H5" s="2" t="s">
        <v>66</v>
      </c>
      <c r="I5" s="2" t="s">
        <v>319</v>
      </c>
      <c r="J5" s="2" t="s">
        <v>1618</v>
      </c>
      <c r="K5" s="2" t="s">
        <v>67</v>
      </c>
      <c r="L5" s="22">
        <v>250000</v>
      </c>
      <c r="M5" s="22">
        <v>250000</v>
      </c>
      <c r="N5" s="2" t="s">
        <v>33</v>
      </c>
      <c r="O5" s="7">
        <v>0</v>
      </c>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v>250000</v>
      </c>
      <c r="BN5" s="7"/>
      <c r="BO5" s="7"/>
      <c r="BP5" s="7"/>
      <c r="BQ5" s="7"/>
      <c r="BR5" s="7"/>
      <c r="BS5" s="7"/>
      <c r="BT5" s="7"/>
      <c r="BU5" s="7"/>
      <c r="BV5" s="7"/>
      <c r="BW5" s="8">
        <v>45791</v>
      </c>
      <c r="BX5" s="2"/>
      <c r="BY5" s="2" t="s">
        <v>1799</v>
      </c>
      <c r="BZ5" s="2"/>
      <c r="CA5" s="14">
        <f t="shared" si="0"/>
        <v>250000</v>
      </c>
      <c r="CB5" s="2" t="str">
        <f t="shared" si="1"/>
        <v>OK</v>
      </c>
      <c r="CC5" s="13">
        <f t="shared" si="2"/>
        <v>0</v>
      </c>
    </row>
    <row r="6" spans="1:82" s="9" customFormat="1" ht="60" customHeight="1" x14ac:dyDescent="0.25">
      <c r="A6" s="64" t="s">
        <v>1996</v>
      </c>
      <c r="B6" s="38"/>
      <c r="C6" s="64" t="s">
        <v>1051</v>
      </c>
      <c r="D6" s="65" t="s">
        <v>1997</v>
      </c>
      <c r="E6" s="2"/>
      <c r="F6" s="64" t="s">
        <v>1691</v>
      </c>
      <c r="G6" s="64" t="s">
        <v>2017</v>
      </c>
      <c r="H6" s="64" t="s">
        <v>66</v>
      </c>
      <c r="I6" s="64" t="s">
        <v>319</v>
      </c>
      <c r="J6" s="64" t="s">
        <v>1618</v>
      </c>
      <c r="K6" s="64" t="s">
        <v>67</v>
      </c>
      <c r="L6" s="66">
        <v>1085028.95</v>
      </c>
      <c r="M6" s="66">
        <v>94000</v>
      </c>
      <c r="N6" s="64" t="s">
        <v>33</v>
      </c>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67">
        <v>45899</v>
      </c>
      <c r="BX6" s="2"/>
      <c r="BY6" s="67" t="s">
        <v>1801</v>
      </c>
      <c r="BZ6" s="1" t="s">
        <v>1695</v>
      </c>
      <c r="CA6" s="14">
        <f t="shared" si="0"/>
        <v>0</v>
      </c>
      <c r="CB6" s="2" t="str">
        <f t="shared" si="1"/>
        <v>CORRIGIR</v>
      </c>
      <c r="CC6" s="13">
        <f t="shared" si="2"/>
        <v>94000</v>
      </c>
    </row>
    <row r="7" spans="1:82" s="9" customFormat="1" ht="103.5" customHeight="1" x14ac:dyDescent="0.25">
      <c r="A7" s="2" t="s">
        <v>1600</v>
      </c>
      <c r="B7" s="2" t="s">
        <v>1127</v>
      </c>
      <c r="C7" s="2" t="s">
        <v>342</v>
      </c>
      <c r="D7" s="12" t="s">
        <v>1821</v>
      </c>
      <c r="E7" s="2"/>
      <c r="F7" s="2" t="s">
        <v>1691</v>
      </c>
      <c r="G7" s="2" t="s">
        <v>2018</v>
      </c>
      <c r="H7" s="2" t="s">
        <v>66</v>
      </c>
      <c r="I7" s="2" t="s">
        <v>5</v>
      </c>
      <c r="J7" s="2" t="s">
        <v>1618</v>
      </c>
      <c r="K7" s="2" t="s">
        <v>384</v>
      </c>
      <c r="L7" s="7">
        <v>4376757.93</v>
      </c>
      <c r="M7" s="22">
        <v>2156709.12</v>
      </c>
      <c r="N7" s="2" t="s">
        <v>1125</v>
      </c>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v>1000703.17</v>
      </c>
      <c r="BD7" s="7">
        <v>1156005.95</v>
      </c>
      <c r="BE7" s="7"/>
      <c r="BF7" s="7"/>
      <c r="BG7" s="7"/>
      <c r="BH7" s="7"/>
      <c r="BI7" s="7"/>
      <c r="BJ7" s="7"/>
      <c r="BK7" s="7"/>
      <c r="BL7" s="7"/>
      <c r="BM7" s="7"/>
      <c r="BN7" s="7"/>
      <c r="BO7" s="7"/>
      <c r="BP7" s="7"/>
      <c r="BQ7" s="7"/>
      <c r="BR7" s="7"/>
      <c r="BS7" s="7"/>
      <c r="BT7" s="7"/>
      <c r="BU7" s="7"/>
      <c r="BV7" s="7"/>
      <c r="BW7" s="8">
        <v>45691</v>
      </c>
      <c r="BX7" s="2"/>
      <c r="BY7" s="2" t="s">
        <v>1801</v>
      </c>
      <c r="BZ7" s="1" t="s">
        <v>1695</v>
      </c>
      <c r="CA7" s="14">
        <f>SUM(O7:BV7)</f>
        <v>2156709.12</v>
      </c>
      <c r="CB7" s="2" t="str">
        <f>IF(M7=CA7,"OK","CORRIGIR")</f>
        <v>OK</v>
      </c>
      <c r="CC7" s="13">
        <f>M7-CA7</f>
        <v>0</v>
      </c>
    </row>
    <row r="8" spans="1:82" s="9" customFormat="1" ht="82.5" customHeight="1" x14ac:dyDescent="0.25">
      <c r="A8" s="64" t="s">
        <v>2155</v>
      </c>
      <c r="B8" s="2"/>
      <c r="C8" s="64" t="s">
        <v>342</v>
      </c>
      <c r="D8" s="65" t="s">
        <v>2156</v>
      </c>
      <c r="E8" s="2"/>
      <c r="F8" s="64" t="s">
        <v>2157</v>
      </c>
      <c r="G8" s="64" t="s">
        <v>2018</v>
      </c>
      <c r="H8" s="64" t="s">
        <v>66</v>
      </c>
      <c r="I8" s="64" t="s">
        <v>1618</v>
      </c>
      <c r="J8" s="64" t="s">
        <v>1618</v>
      </c>
      <c r="K8" s="64" t="s">
        <v>384</v>
      </c>
      <c r="L8" s="68">
        <v>39999995.18</v>
      </c>
      <c r="M8" s="66">
        <v>39999995.18</v>
      </c>
      <c r="N8" s="64" t="s">
        <v>2158</v>
      </c>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67">
        <v>45992</v>
      </c>
      <c r="BX8" s="2"/>
      <c r="BY8" s="64" t="s">
        <v>1799</v>
      </c>
      <c r="BZ8" s="1"/>
      <c r="CA8" s="14"/>
      <c r="CB8" s="2"/>
      <c r="CC8" s="13"/>
    </row>
    <row r="9" spans="1:82" s="9" customFormat="1" ht="60" customHeight="1" x14ac:dyDescent="0.25">
      <c r="A9" s="2" t="s">
        <v>1629</v>
      </c>
      <c r="B9" s="2" t="s">
        <v>1619</v>
      </c>
      <c r="C9" s="2" t="s">
        <v>1048</v>
      </c>
      <c r="D9" s="12" t="s">
        <v>1621</v>
      </c>
      <c r="E9" s="2"/>
      <c r="F9" s="2" t="s">
        <v>72</v>
      </c>
      <c r="G9" s="2" t="s">
        <v>2018</v>
      </c>
      <c r="H9" s="7" t="s">
        <v>66</v>
      </c>
      <c r="I9" s="7" t="s">
        <v>5</v>
      </c>
      <c r="J9" s="7" t="s">
        <v>1618</v>
      </c>
      <c r="K9" s="7" t="s">
        <v>384</v>
      </c>
      <c r="L9" s="7">
        <v>80679.360000000001</v>
      </c>
      <c r="M9" s="7">
        <v>80679.360000000001</v>
      </c>
      <c r="N9" s="2" t="s">
        <v>11</v>
      </c>
      <c r="O9" s="7"/>
      <c r="P9" s="7"/>
      <c r="Q9" s="7"/>
      <c r="R9" s="7"/>
      <c r="S9" s="7"/>
      <c r="T9" s="7"/>
      <c r="U9" s="26">
        <v>80679.360000000001</v>
      </c>
      <c r="V9" s="2"/>
      <c r="W9" s="7"/>
      <c r="X9" s="7"/>
      <c r="Y9" s="2"/>
      <c r="Z9" s="2"/>
      <c r="AA9" s="7"/>
      <c r="AB9" s="7"/>
      <c r="AC9" s="2"/>
      <c r="AD9" s="7"/>
      <c r="AE9" s="7"/>
      <c r="AF9" s="7"/>
      <c r="AG9" s="7"/>
      <c r="AH9" s="2"/>
      <c r="AI9" s="7"/>
      <c r="AJ9" s="7"/>
      <c r="AK9" s="7"/>
      <c r="AL9" s="7"/>
      <c r="AM9" s="7"/>
      <c r="AN9" s="7"/>
      <c r="AO9" s="7"/>
      <c r="AP9" s="7"/>
      <c r="AQ9" s="7"/>
      <c r="AR9" s="7"/>
      <c r="AS9" s="7"/>
      <c r="AT9" s="7"/>
      <c r="AU9" s="7"/>
      <c r="AV9" s="7"/>
      <c r="AW9" s="2"/>
      <c r="AX9" s="2"/>
      <c r="AY9" s="7"/>
      <c r="AZ9" s="7"/>
      <c r="BA9" s="7"/>
      <c r="BB9" s="7"/>
      <c r="BC9" s="7"/>
      <c r="BD9" s="7"/>
      <c r="BE9" s="7"/>
      <c r="BF9" s="7"/>
      <c r="BG9" s="7"/>
      <c r="BH9" s="2"/>
      <c r="BI9" s="2"/>
      <c r="BJ9" s="2"/>
      <c r="BK9" s="2"/>
      <c r="BL9" s="7"/>
      <c r="BM9" s="7"/>
      <c r="BN9" s="7"/>
      <c r="BO9" s="7"/>
      <c r="BP9" s="7"/>
      <c r="BQ9" s="7"/>
      <c r="BR9" s="7"/>
      <c r="BS9" s="7"/>
      <c r="BT9" s="7"/>
      <c r="BU9" s="7"/>
      <c r="BV9" s="7"/>
      <c r="BW9" s="8">
        <v>45717</v>
      </c>
      <c r="BX9" s="2"/>
      <c r="BY9" s="2" t="s">
        <v>1799</v>
      </c>
      <c r="BZ9" s="1" t="s">
        <v>1695</v>
      </c>
      <c r="CA9" s="14">
        <f t="shared" ref="CA9:CA14" si="3">SUM(O9:BV9)</f>
        <v>80679.360000000001</v>
      </c>
      <c r="CB9" s="2" t="str">
        <f t="shared" ref="CB9:CB14" si="4">IF(M9=CA9,"OK","CORRIGIR")</f>
        <v>OK</v>
      </c>
      <c r="CC9" s="13">
        <f t="shared" ref="CC9:CC14" si="5">M9-CA9</f>
        <v>0</v>
      </c>
    </row>
    <row r="10" spans="1:82" s="9" customFormat="1" ht="143.25" customHeight="1" x14ac:dyDescent="0.25">
      <c r="A10" s="2" t="s">
        <v>1256</v>
      </c>
      <c r="B10" s="2" t="s">
        <v>399</v>
      </c>
      <c r="C10" s="2" t="s">
        <v>379</v>
      </c>
      <c r="D10" s="12" t="s">
        <v>1754</v>
      </c>
      <c r="E10" s="2"/>
      <c r="F10" s="2" t="s">
        <v>1691</v>
      </c>
      <c r="G10" s="2" t="s">
        <v>2018</v>
      </c>
      <c r="H10" s="2" t="s">
        <v>66</v>
      </c>
      <c r="I10" s="2" t="s">
        <v>5</v>
      </c>
      <c r="J10" s="2" t="s">
        <v>1618</v>
      </c>
      <c r="K10" s="2" t="s">
        <v>384</v>
      </c>
      <c r="L10" s="22">
        <v>43192538</v>
      </c>
      <c r="M10" s="22">
        <v>10000000</v>
      </c>
      <c r="N10" s="2" t="s">
        <v>387</v>
      </c>
      <c r="O10" s="7"/>
      <c r="P10" s="7"/>
      <c r="Q10" s="7"/>
      <c r="R10" s="7">
        <v>10000000</v>
      </c>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8">
        <v>45777</v>
      </c>
      <c r="BX10" s="2"/>
      <c r="BY10" s="2" t="s">
        <v>1801</v>
      </c>
      <c r="BZ10" s="1" t="s">
        <v>1695</v>
      </c>
      <c r="CA10" s="14">
        <f t="shared" si="3"/>
        <v>10000000</v>
      </c>
      <c r="CB10" s="2" t="str">
        <f t="shared" si="4"/>
        <v>OK</v>
      </c>
      <c r="CC10" s="13">
        <f t="shared" si="5"/>
        <v>0</v>
      </c>
    </row>
    <row r="11" spans="1:82" s="9" customFormat="1" ht="63.75" customHeight="1" x14ac:dyDescent="0.25">
      <c r="A11" s="2" t="s">
        <v>1547</v>
      </c>
      <c r="B11" s="2" t="s">
        <v>891</v>
      </c>
      <c r="C11" s="2" t="s">
        <v>681</v>
      </c>
      <c r="D11" s="12" t="s">
        <v>892</v>
      </c>
      <c r="E11" s="2"/>
      <c r="F11" s="2" t="s">
        <v>72</v>
      </c>
      <c r="G11" s="2" t="s">
        <v>2018</v>
      </c>
      <c r="H11" s="2" t="s">
        <v>66</v>
      </c>
      <c r="I11" s="2" t="s">
        <v>5</v>
      </c>
      <c r="J11" s="2" t="s">
        <v>1618</v>
      </c>
      <c r="K11" s="2" t="s">
        <v>384</v>
      </c>
      <c r="L11" s="22">
        <v>174983.8</v>
      </c>
      <c r="M11" s="22">
        <v>174983.8</v>
      </c>
      <c r="N11" s="2" t="s">
        <v>11</v>
      </c>
      <c r="O11" s="7">
        <v>0</v>
      </c>
      <c r="P11" s="7"/>
      <c r="Q11" s="7"/>
      <c r="R11" s="7"/>
      <c r="S11" s="7"/>
      <c r="T11" s="7"/>
      <c r="U11" s="7">
        <v>174983.8</v>
      </c>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8">
        <v>45782</v>
      </c>
      <c r="BX11" s="2"/>
      <c r="BY11" s="2" t="s">
        <v>1801</v>
      </c>
      <c r="BZ11" s="1" t="s">
        <v>1695</v>
      </c>
      <c r="CA11" s="14">
        <f t="shared" si="3"/>
        <v>174983.8</v>
      </c>
      <c r="CB11" s="2" t="str">
        <f t="shared" si="4"/>
        <v>OK</v>
      </c>
      <c r="CC11" s="13">
        <f t="shared" si="5"/>
        <v>0</v>
      </c>
    </row>
    <row r="12" spans="1:82" s="9" customFormat="1" ht="60" customHeight="1" x14ac:dyDescent="0.25">
      <c r="A12" s="2" t="s">
        <v>1603</v>
      </c>
      <c r="B12" s="2" t="s">
        <v>1119</v>
      </c>
      <c r="C12" s="2" t="s">
        <v>681</v>
      </c>
      <c r="D12" s="12" t="s">
        <v>1131</v>
      </c>
      <c r="E12" s="2"/>
      <c r="F12" s="2" t="s">
        <v>72</v>
      </c>
      <c r="G12" s="2" t="s">
        <v>2018</v>
      </c>
      <c r="H12" s="2" t="s">
        <v>66</v>
      </c>
      <c r="I12" s="2" t="s">
        <v>1815</v>
      </c>
      <c r="J12" s="2">
        <v>1</v>
      </c>
      <c r="K12" s="2" t="s">
        <v>384</v>
      </c>
      <c r="L12" s="7">
        <v>88000</v>
      </c>
      <c r="M12" s="22">
        <v>88000</v>
      </c>
      <c r="N12" s="23" t="s">
        <v>11</v>
      </c>
      <c r="O12" s="7"/>
      <c r="P12" s="7"/>
      <c r="Q12" s="7"/>
      <c r="R12" s="7"/>
      <c r="S12" s="7"/>
      <c r="T12" s="7"/>
      <c r="U12" s="7">
        <f>M12</f>
        <v>88000</v>
      </c>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8">
        <v>45810</v>
      </c>
      <c r="BX12" s="2"/>
      <c r="BY12" s="2" t="s">
        <v>1799</v>
      </c>
      <c r="BZ12" s="2"/>
      <c r="CA12" s="14">
        <f t="shared" si="3"/>
        <v>88000</v>
      </c>
      <c r="CB12" s="2" t="str">
        <f t="shared" si="4"/>
        <v>OK</v>
      </c>
      <c r="CC12" s="13">
        <f t="shared" si="5"/>
        <v>0</v>
      </c>
    </row>
    <row r="13" spans="1:82" s="9" customFormat="1" ht="73.5" customHeight="1" x14ac:dyDescent="0.25">
      <c r="A13" s="2" t="s">
        <v>1450</v>
      </c>
      <c r="B13" s="2" t="s">
        <v>799</v>
      </c>
      <c r="C13" s="2" t="s">
        <v>681</v>
      </c>
      <c r="D13" s="12" t="s">
        <v>2140</v>
      </c>
      <c r="E13" s="2"/>
      <c r="F13" s="2" t="s">
        <v>72</v>
      </c>
      <c r="G13" s="2" t="s">
        <v>2018</v>
      </c>
      <c r="H13" s="2" t="s">
        <v>66</v>
      </c>
      <c r="I13" s="2" t="s">
        <v>1618</v>
      </c>
      <c r="J13" s="2" t="s">
        <v>1618</v>
      </c>
      <c r="K13" s="2" t="s">
        <v>384</v>
      </c>
      <c r="L13" s="22">
        <v>393597</v>
      </c>
      <c r="M13" s="22">
        <v>393597</v>
      </c>
      <c r="N13" s="2" t="s">
        <v>11</v>
      </c>
      <c r="O13" s="7">
        <v>0</v>
      </c>
      <c r="P13" s="7"/>
      <c r="Q13" s="7"/>
      <c r="R13" s="7"/>
      <c r="S13" s="7"/>
      <c r="T13" s="7"/>
      <c r="U13" s="7">
        <v>393597</v>
      </c>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8">
        <v>45824</v>
      </c>
      <c r="BX13" s="2"/>
      <c r="BY13" s="2" t="s">
        <v>1799</v>
      </c>
      <c r="BZ13" s="1" t="s">
        <v>1697</v>
      </c>
      <c r="CA13" s="14">
        <f t="shared" si="3"/>
        <v>393597</v>
      </c>
      <c r="CB13" s="2" t="str">
        <f t="shared" si="4"/>
        <v>OK</v>
      </c>
      <c r="CC13" s="13">
        <f t="shared" si="5"/>
        <v>0</v>
      </c>
    </row>
    <row r="14" spans="1:82" s="9" customFormat="1" ht="56.25" customHeight="1" x14ac:dyDescent="0.25">
      <c r="A14" s="2" t="s">
        <v>1494</v>
      </c>
      <c r="B14" s="2" t="s">
        <v>687</v>
      </c>
      <c r="C14" s="2" t="s">
        <v>681</v>
      </c>
      <c r="D14" s="12" t="s">
        <v>688</v>
      </c>
      <c r="E14" s="2"/>
      <c r="F14" s="2" t="s">
        <v>65</v>
      </c>
      <c r="G14" s="2" t="s">
        <v>2018</v>
      </c>
      <c r="H14" s="2" t="s">
        <v>66</v>
      </c>
      <c r="I14" s="2" t="s">
        <v>5</v>
      </c>
      <c r="J14" s="2">
        <v>33</v>
      </c>
      <c r="K14" s="2" t="s">
        <v>384</v>
      </c>
      <c r="L14" s="22">
        <v>181921.41</v>
      </c>
      <c r="M14" s="22">
        <v>181921.41</v>
      </c>
      <c r="N14" s="2" t="s">
        <v>11</v>
      </c>
      <c r="O14" s="7">
        <v>0</v>
      </c>
      <c r="P14" s="7"/>
      <c r="Q14" s="7"/>
      <c r="R14" s="7"/>
      <c r="S14" s="7"/>
      <c r="T14" s="7"/>
      <c r="U14" s="7">
        <v>181921.41</v>
      </c>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8">
        <v>45859</v>
      </c>
      <c r="BX14" s="2"/>
      <c r="BY14" s="2" t="s">
        <v>1800</v>
      </c>
      <c r="BZ14" s="1" t="s">
        <v>1697</v>
      </c>
      <c r="CA14" s="14">
        <f t="shared" si="3"/>
        <v>181921.41</v>
      </c>
      <c r="CB14" s="2" t="str">
        <f t="shared" si="4"/>
        <v>OK</v>
      </c>
      <c r="CC14" s="13">
        <f t="shared" si="5"/>
        <v>0</v>
      </c>
    </row>
    <row r="15" spans="1:82" s="9" customFormat="1" ht="56.25" customHeight="1" x14ac:dyDescent="0.25">
      <c r="A15" s="2" t="s">
        <v>1453</v>
      </c>
      <c r="B15" s="2" t="s">
        <v>766</v>
      </c>
      <c r="C15" s="2" t="s">
        <v>681</v>
      </c>
      <c r="D15" s="12" t="s">
        <v>1148</v>
      </c>
      <c r="E15" s="2"/>
      <c r="F15" s="2" t="s">
        <v>72</v>
      </c>
      <c r="G15" s="2" t="s">
        <v>2018</v>
      </c>
      <c r="H15" s="2" t="s">
        <v>66</v>
      </c>
      <c r="I15" s="2" t="s">
        <v>5</v>
      </c>
      <c r="J15" s="15">
        <v>1</v>
      </c>
      <c r="K15" s="7" t="s">
        <v>384</v>
      </c>
      <c r="L15" s="22">
        <v>19975.8</v>
      </c>
      <c r="M15" s="22">
        <v>19975.8</v>
      </c>
      <c r="N15" s="7" t="s">
        <v>11</v>
      </c>
      <c r="O15" s="7"/>
      <c r="P15" s="7"/>
      <c r="Q15" s="7"/>
      <c r="R15" s="7"/>
      <c r="S15" s="7"/>
      <c r="T15" s="7"/>
      <c r="U15" s="7">
        <f>19975.8</f>
        <v>19975.8</v>
      </c>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8"/>
      <c r="AX15" s="2"/>
      <c r="AY15" s="7"/>
      <c r="AZ15" s="7"/>
      <c r="BA15" s="7"/>
      <c r="BB15" s="7"/>
      <c r="BC15" s="7"/>
      <c r="BD15" s="7"/>
      <c r="BE15" s="7"/>
      <c r="BF15" s="7"/>
      <c r="BG15" s="7"/>
      <c r="BH15" s="14"/>
      <c r="BI15" s="2"/>
      <c r="BJ15" s="13"/>
      <c r="BK15" s="7"/>
      <c r="BL15" s="7"/>
      <c r="BM15" s="7"/>
      <c r="BN15" s="7"/>
      <c r="BO15" s="7"/>
      <c r="BP15" s="7"/>
      <c r="BQ15" s="7"/>
      <c r="BR15" s="7"/>
      <c r="BS15" s="7"/>
      <c r="BT15" s="7"/>
      <c r="BU15" s="7"/>
      <c r="BV15" s="7"/>
      <c r="BW15" s="8">
        <v>45936</v>
      </c>
      <c r="BX15" s="2"/>
      <c r="BY15" s="2" t="s">
        <v>1801</v>
      </c>
      <c r="BZ15" s="1"/>
      <c r="CA15" s="14"/>
      <c r="CB15" s="2"/>
      <c r="CC15" s="13"/>
    </row>
    <row r="16" spans="1:82" s="9" customFormat="1" ht="63.75" customHeight="1" x14ac:dyDescent="0.25">
      <c r="A16" s="2" t="s">
        <v>1477</v>
      </c>
      <c r="B16" s="2" t="s">
        <v>696</v>
      </c>
      <c r="C16" s="2" t="s">
        <v>681</v>
      </c>
      <c r="D16" s="12" t="s">
        <v>697</v>
      </c>
      <c r="E16" s="2"/>
      <c r="F16" s="2" t="s">
        <v>72</v>
      </c>
      <c r="G16" s="2" t="s">
        <v>2018</v>
      </c>
      <c r="H16" s="2" t="s">
        <v>66</v>
      </c>
      <c r="I16" s="2" t="s">
        <v>1618</v>
      </c>
      <c r="J16" s="2" t="s">
        <v>1618</v>
      </c>
      <c r="K16" s="2" t="s">
        <v>384</v>
      </c>
      <c r="L16" s="22">
        <v>148035.5</v>
      </c>
      <c r="M16" s="22">
        <v>148035.5</v>
      </c>
      <c r="N16" s="2" t="s">
        <v>11</v>
      </c>
      <c r="O16" s="7"/>
      <c r="P16" s="7"/>
      <c r="Q16" s="7"/>
      <c r="R16" s="7"/>
      <c r="S16" s="7"/>
      <c r="T16" s="7"/>
      <c r="U16" s="7">
        <f>M16</f>
        <v>148035.5</v>
      </c>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8">
        <v>45950</v>
      </c>
      <c r="BX16" s="2"/>
      <c r="BY16" s="2" t="s">
        <v>1799</v>
      </c>
      <c r="BZ16" s="1" t="s">
        <v>1698</v>
      </c>
      <c r="CA16" s="14">
        <f>SUM(O16:BV16)</f>
        <v>148035.5</v>
      </c>
      <c r="CB16" s="2" t="str">
        <f>IF(M16=CA16,"OK","CORRIGIR")</f>
        <v>OK</v>
      </c>
      <c r="CC16" s="13">
        <f>M16-CA16</f>
        <v>0</v>
      </c>
    </row>
    <row r="17" spans="1:81" s="9" customFormat="1" ht="59.25" customHeight="1" x14ac:dyDescent="0.25">
      <c r="A17" s="2" t="s">
        <v>1432</v>
      </c>
      <c r="B17" s="2" t="s">
        <v>1010</v>
      </c>
      <c r="C17" s="2" t="s">
        <v>681</v>
      </c>
      <c r="D17" s="12" t="s">
        <v>1011</v>
      </c>
      <c r="E17" s="2"/>
      <c r="F17" s="2" t="s">
        <v>72</v>
      </c>
      <c r="G17" s="2" t="s">
        <v>2018</v>
      </c>
      <c r="H17" s="2" t="s">
        <v>66</v>
      </c>
      <c r="I17" s="2" t="s">
        <v>5</v>
      </c>
      <c r="J17" s="2">
        <v>1</v>
      </c>
      <c r="K17" s="2" t="s">
        <v>384</v>
      </c>
      <c r="L17" s="22">
        <v>461994.04</v>
      </c>
      <c r="M17" s="22">
        <v>461994.04</v>
      </c>
      <c r="N17" s="2" t="s">
        <v>11</v>
      </c>
      <c r="O17" s="7">
        <v>0</v>
      </c>
      <c r="P17" s="7"/>
      <c r="Q17" s="7"/>
      <c r="R17" s="7"/>
      <c r="S17" s="7"/>
      <c r="T17" s="7"/>
      <c r="U17" s="7">
        <v>461994.04</v>
      </c>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8">
        <v>45964</v>
      </c>
      <c r="BX17" s="2"/>
      <c r="BY17" s="2" t="s">
        <v>1799</v>
      </c>
      <c r="BZ17" s="1" t="s">
        <v>1695</v>
      </c>
      <c r="CA17" s="14">
        <f>SUM(O17:BV17)</f>
        <v>461994.04</v>
      </c>
      <c r="CB17" s="2" t="str">
        <f>IF(M17=CA17,"OK","CORRIGIR")</f>
        <v>OK</v>
      </c>
      <c r="CC17" s="13">
        <f>M17-CA17</f>
        <v>0</v>
      </c>
    </row>
    <row r="18" spans="1:81" s="9" customFormat="1" ht="60" customHeight="1" x14ac:dyDescent="0.25">
      <c r="A18" s="2" t="s">
        <v>1392</v>
      </c>
      <c r="B18" s="2" t="s">
        <v>736</v>
      </c>
      <c r="C18" s="2" t="s">
        <v>681</v>
      </c>
      <c r="D18" s="12" t="s">
        <v>737</v>
      </c>
      <c r="E18" s="2"/>
      <c r="F18" s="2" t="s">
        <v>72</v>
      </c>
      <c r="G18" s="2" t="s">
        <v>2018</v>
      </c>
      <c r="H18" s="2" t="s">
        <v>66</v>
      </c>
      <c r="I18" s="2" t="s">
        <v>5</v>
      </c>
      <c r="J18" s="2" t="s">
        <v>1618</v>
      </c>
      <c r="K18" s="2" t="s">
        <v>384</v>
      </c>
      <c r="L18" s="22">
        <v>2660000</v>
      </c>
      <c r="M18" s="22">
        <v>2660000</v>
      </c>
      <c r="N18" s="2" t="s">
        <v>11</v>
      </c>
      <c r="O18" s="7">
        <v>0</v>
      </c>
      <c r="P18" s="7"/>
      <c r="Q18" s="7"/>
      <c r="R18" s="7"/>
      <c r="S18" s="7"/>
      <c r="T18" s="7"/>
      <c r="U18" s="7">
        <v>2660000</v>
      </c>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8">
        <v>45992</v>
      </c>
      <c r="BX18" s="2"/>
      <c r="BY18" s="2" t="s">
        <v>1801</v>
      </c>
      <c r="BZ18" s="1" t="s">
        <v>1695</v>
      </c>
      <c r="CA18" s="14">
        <f>SUM(O18:BV18)</f>
        <v>2660000</v>
      </c>
      <c r="CB18" s="2" t="str">
        <f>IF(M18=CA18,"OK","CORRIGIR")</f>
        <v>OK</v>
      </c>
      <c r="CC18" s="13">
        <f>M18-CA18</f>
        <v>0</v>
      </c>
    </row>
    <row r="19" spans="1:81" s="9" customFormat="1" ht="63" customHeight="1" x14ac:dyDescent="0.25">
      <c r="A19" s="2" t="s">
        <v>1418</v>
      </c>
      <c r="B19" s="2" t="s">
        <v>740</v>
      </c>
      <c r="C19" s="2" t="s">
        <v>681</v>
      </c>
      <c r="D19" s="12" t="s">
        <v>741</v>
      </c>
      <c r="E19" s="2"/>
      <c r="F19" s="2" t="s">
        <v>72</v>
      </c>
      <c r="G19" s="2" t="s">
        <v>2018</v>
      </c>
      <c r="H19" s="2" t="s">
        <v>66</v>
      </c>
      <c r="I19" s="2" t="s">
        <v>5</v>
      </c>
      <c r="J19" s="2" t="s">
        <v>1618</v>
      </c>
      <c r="K19" s="2" t="s">
        <v>384</v>
      </c>
      <c r="L19" s="22">
        <v>921600</v>
      </c>
      <c r="M19" s="22">
        <v>921600</v>
      </c>
      <c r="N19" s="2" t="s">
        <v>11</v>
      </c>
      <c r="O19" s="7">
        <v>0</v>
      </c>
      <c r="P19" s="7"/>
      <c r="Q19" s="7"/>
      <c r="R19" s="7"/>
      <c r="S19" s="7"/>
      <c r="T19" s="7"/>
      <c r="U19" s="7">
        <v>921600</v>
      </c>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8">
        <v>45992</v>
      </c>
      <c r="BX19" s="2"/>
      <c r="BY19" s="2" t="s">
        <v>1799</v>
      </c>
      <c r="BZ19" s="1" t="s">
        <v>1695</v>
      </c>
      <c r="CA19" s="14">
        <f>SUM(O19:BV19)</f>
        <v>921600</v>
      </c>
      <c r="CB19" s="2" t="str">
        <f>IF(M19=CA19,"OK","CORRIGIR")</f>
        <v>OK</v>
      </c>
      <c r="CC19" s="13">
        <f>M19-CA19</f>
        <v>0</v>
      </c>
    </row>
    <row r="20" spans="1:81" s="9" customFormat="1" ht="101.25" customHeight="1" x14ac:dyDescent="0.25">
      <c r="A20" s="64" t="s">
        <v>2131</v>
      </c>
      <c r="B20" s="2"/>
      <c r="C20" s="64" t="s">
        <v>2132</v>
      </c>
      <c r="D20" s="65" t="s">
        <v>2135</v>
      </c>
      <c r="E20" s="2"/>
      <c r="F20" s="64" t="s">
        <v>1694</v>
      </c>
      <c r="G20" s="64" t="s">
        <v>2018</v>
      </c>
      <c r="H20" s="64" t="s">
        <v>66</v>
      </c>
      <c r="I20" s="64" t="s">
        <v>1614</v>
      </c>
      <c r="J20" s="64" t="s">
        <v>1614</v>
      </c>
      <c r="K20" s="64" t="s">
        <v>384</v>
      </c>
      <c r="L20" s="68">
        <v>5143750</v>
      </c>
      <c r="M20" s="68">
        <v>5143750</v>
      </c>
      <c r="N20" s="64" t="s">
        <v>2134</v>
      </c>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7">
        <v>45992</v>
      </c>
      <c r="BX20" s="2"/>
      <c r="BY20" s="64" t="s">
        <v>1974</v>
      </c>
      <c r="BZ20" s="1"/>
      <c r="CA20" s="14"/>
      <c r="CB20" s="2"/>
      <c r="CC20" s="13"/>
    </row>
    <row r="21" spans="1:81" s="9" customFormat="1" ht="102" customHeight="1" x14ac:dyDescent="0.25">
      <c r="A21" s="64" t="s">
        <v>1598</v>
      </c>
      <c r="B21" s="57" t="s">
        <v>1124</v>
      </c>
      <c r="C21" s="64" t="s">
        <v>342</v>
      </c>
      <c r="D21" s="65" t="s">
        <v>1822</v>
      </c>
      <c r="E21" s="57"/>
      <c r="F21" s="64" t="s">
        <v>1691</v>
      </c>
      <c r="G21" s="64" t="s">
        <v>2019</v>
      </c>
      <c r="H21" s="64" t="s">
        <v>66</v>
      </c>
      <c r="I21" s="64" t="s">
        <v>5</v>
      </c>
      <c r="J21" s="64" t="s">
        <v>1618</v>
      </c>
      <c r="K21" s="64" t="s">
        <v>384</v>
      </c>
      <c r="L21" s="68">
        <f>29418367.8+48218914.06</f>
        <v>77637281.859999999</v>
      </c>
      <c r="M21" s="66">
        <f>15418367.8-1163602.71-2564751.9-900250</f>
        <v>10789763.189999999</v>
      </c>
      <c r="N21" s="64" t="s">
        <v>2134</v>
      </c>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f>5767347.12-1163602.71</f>
        <v>4603744.41</v>
      </c>
      <c r="BD21" s="58">
        <f>9651020.68-2564751.9</f>
        <v>7086268.7799999993</v>
      </c>
      <c r="BE21" s="58"/>
      <c r="BF21" s="58"/>
      <c r="BG21" s="58"/>
      <c r="BH21" s="58"/>
      <c r="BI21" s="58"/>
      <c r="BJ21" s="58"/>
      <c r="BK21" s="58"/>
      <c r="BL21" s="58"/>
      <c r="BM21" s="58"/>
      <c r="BN21" s="58"/>
      <c r="BO21" s="58"/>
      <c r="BP21" s="58"/>
      <c r="BQ21" s="58"/>
      <c r="BR21" s="58"/>
      <c r="BS21" s="58"/>
      <c r="BT21" s="58"/>
      <c r="BU21" s="58"/>
      <c r="BV21" s="58"/>
      <c r="BW21" s="67">
        <v>45691</v>
      </c>
      <c r="BX21" s="57"/>
      <c r="BY21" s="64" t="s">
        <v>1801</v>
      </c>
      <c r="BZ21" s="1" t="s">
        <v>1695</v>
      </c>
      <c r="CA21" s="14">
        <f t="shared" ref="CA21:CA39" si="6">SUM(O21:BV21)</f>
        <v>11690013.189999999</v>
      </c>
      <c r="CB21" s="2" t="str">
        <f t="shared" ref="CB21:CB39" si="7">IF(M21=CA21,"OK","CORRIGIR")</f>
        <v>CORRIGIR</v>
      </c>
      <c r="CC21" s="13">
        <f t="shared" ref="CC21:CC39" si="8">M21-CA21</f>
        <v>-900250</v>
      </c>
    </row>
    <row r="22" spans="1:81" s="9" customFormat="1" ht="111" customHeight="1" x14ac:dyDescent="0.25">
      <c r="A22" s="64" t="s">
        <v>1599</v>
      </c>
      <c r="B22" s="57" t="s">
        <v>1126</v>
      </c>
      <c r="C22" s="64" t="s">
        <v>342</v>
      </c>
      <c r="D22" s="65" t="s">
        <v>1822</v>
      </c>
      <c r="E22" s="57"/>
      <c r="F22" s="64" t="s">
        <v>1691</v>
      </c>
      <c r="G22" s="64" t="s">
        <v>2019</v>
      </c>
      <c r="H22" s="64" t="s">
        <v>66</v>
      </c>
      <c r="I22" s="64" t="s">
        <v>5</v>
      </c>
      <c r="J22" s="64" t="s">
        <v>1618</v>
      </c>
      <c r="K22" s="64" t="s">
        <v>384</v>
      </c>
      <c r="L22" s="68">
        <f>32316610.26+59751735.24</f>
        <v>92068345.5</v>
      </c>
      <c r="M22" s="66">
        <f>18316610.26-1163602.68-2564751.89</f>
        <v>14588255.690000001</v>
      </c>
      <c r="N22" s="64" t="s">
        <v>2134</v>
      </c>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f>6926644.1-1163602.68</f>
        <v>5763041.4199999999</v>
      </c>
      <c r="BD22" s="58">
        <f>11389966.16-2564751.89</f>
        <v>8825214.2699999996</v>
      </c>
      <c r="BE22" s="58"/>
      <c r="BF22" s="58"/>
      <c r="BG22" s="58"/>
      <c r="BH22" s="58"/>
      <c r="BI22" s="58"/>
      <c r="BJ22" s="58"/>
      <c r="BK22" s="58"/>
      <c r="BL22" s="58"/>
      <c r="BM22" s="58"/>
      <c r="BN22" s="58"/>
      <c r="BO22" s="58"/>
      <c r="BP22" s="58"/>
      <c r="BQ22" s="58"/>
      <c r="BR22" s="58"/>
      <c r="BS22" s="58"/>
      <c r="BT22" s="58"/>
      <c r="BU22" s="58"/>
      <c r="BV22" s="58"/>
      <c r="BW22" s="67">
        <v>45691</v>
      </c>
      <c r="BX22" s="57"/>
      <c r="BY22" s="64" t="s">
        <v>1799</v>
      </c>
      <c r="BZ22" s="1" t="s">
        <v>1695</v>
      </c>
      <c r="CA22" s="14">
        <f t="shared" si="6"/>
        <v>14588255.689999999</v>
      </c>
      <c r="CB22" s="2" t="str">
        <f t="shared" si="7"/>
        <v>OK</v>
      </c>
      <c r="CC22" s="13">
        <f t="shared" si="8"/>
        <v>0</v>
      </c>
    </row>
    <row r="23" spans="1:81" s="9" customFormat="1" ht="90" customHeight="1" x14ac:dyDescent="0.25">
      <c r="A23" s="2" t="s">
        <v>1372</v>
      </c>
      <c r="B23" s="2" t="s">
        <v>522</v>
      </c>
      <c r="C23" s="2" t="s">
        <v>379</v>
      </c>
      <c r="D23" s="12" t="s">
        <v>523</v>
      </c>
      <c r="E23" s="2"/>
      <c r="F23" s="2" t="s">
        <v>72</v>
      </c>
      <c r="G23" s="2" t="s">
        <v>2019</v>
      </c>
      <c r="H23" s="2" t="s">
        <v>66</v>
      </c>
      <c r="I23" s="2" t="s">
        <v>5</v>
      </c>
      <c r="J23" s="2" t="s">
        <v>1618</v>
      </c>
      <c r="K23" s="2" t="s">
        <v>384</v>
      </c>
      <c r="L23" s="22">
        <v>95448.639999999999</v>
      </c>
      <c r="M23" s="22">
        <v>95448.639999999999</v>
      </c>
      <c r="N23" s="2" t="s">
        <v>11</v>
      </c>
      <c r="O23" s="7"/>
      <c r="P23" s="7"/>
      <c r="Q23" s="7"/>
      <c r="R23" s="7"/>
      <c r="S23" s="7"/>
      <c r="T23" s="7"/>
      <c r="U23" s="7">
        <f>M23</f>
        <v>95448.639999999999</v>
      </c>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8">
        <v>45749</v>
      </c>
      <c r="BX23" s="2"/>
      <c r="BY23" s="2" t="s">
        <v>1801</v>
      </c>
      <c r="BZ23" s="1" t="s">
        <v>1695</v>
      </c>
      <c r="CA23" s="14">
        <f t="shared" si="6"/>
        <v>95448.639999999999</v>
      </c>
      <c r="CB23" s="2" t="str">
        <f t="shared" si="7"/>
        <v>OK</v>
      </c>
      <c r="CC23" s="13">
        <f t="shared" si="8"/>
        <v>0</v>
      </c>
    </row>
    <row r="24" spans="1:81" s="9" customFormat="1" ht="90" customHeight="1" x14ac:dyDescent="0.25">
      <c r="A24" s="64" t="s">
        <v>1233</v>
      </c>
      <c r="B24" s="64" t="s">
        <v>610</v>
      </c>
      <c r="C24" s="64" t="s">
        <v>342</v>
      </c>
      <c r="D24" s="65" t="s">
        <v>611</v>
      </c>
      <c r="E24" s="57"/>
      <c r="F24" s="64" t="s">
        <v>65</v>
      </c>
      <c r="G24" s="64" t="s">
        <v>2037</v>
      </c>
      <c r="H24" s="64" t="s">
        <v>66</v>
      </c>
      <c r="I24" s="64" t="s">
        <v>1618</v>
      </c>
      <c r="J24" s="64" t="s">
        <v>1618</v>
      </c>
      <c r="K24" s="64" t="s">
        <v>67</v>
      </c>
      <c r="L24" s="66">
        <v>40073951.130000003</v>
      </c>
      <c r="M24" s="66">
        <f>29294000-7068738.76</f>
        <v>22225261.240000002</v>
      </c>
      <c r="N24" s="64" t="s">
        <v>22</v>
      </c>
      <c r="O24" s="58">
        <v>0</v>
      </c>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f>29294000-7068738.76</f>
        <v>22225261.240000002</v>
      </c>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67">
        <v>45691</v>
      </c>
      <c r="BX24" s="57"/>
      <c r="BY24" s="64" t="s">
        <v>1800</v>
      </c>
      <c r="BZ24" s="1" t="s">
        <v>1698</v>
      </c>
      <c r="CA24" s="14">
        <f t="shared" si="6"/>
        <v>22225261.240000002</v>
      </c>
      <c r="CB24" s="2" t="str">
        <f t="shared" si="7"/>
        <v>OK</v>
      </c>
      <c r="CC24" s="13">
        <f t="shared" si="8"/>
        <v>0</v>
      </c>
    </row>
    <row r="25" spans="1:81" s="9" customFormat="1" ht="98.25" customHeight="1" x14ac:dyDescent="0.25">
      <c r="A25" s="64" t="s">
        <v>1937</v>
      </c>
      <c r="B25" s="64" t="s">
        <v>1956</v>
      </c>
      <c r="C25" s="64" t="s">
        <v>681</v>
      </c>
      <c r="D25" s="65" t="s">
        <v>1931</v>
      </c>
      <c r="E25" s="2"/>
      <c r="F25" s="64" t="s">
        <v>1928</v>
      </c>
      <c r="G25" s="64" t="s">
        <v>2020</v>
      </c>
      <c r="H25" s="64" t="s">
        <v>66</v>
      </c>
      <c r="I25" s="64" t="s">
        <v>5</v>
      </c>
      <c r="J25" s="81">
        <v>3</v>
      </c>
      <c r="K25" s="64" t="s">
        <v>384</v>
      </c>
      <c r="L25" s="66">
        <v>5907</v>
      </c>
      <c r="M25" s="66">
        <v>5907</v>
      </c>
      <c r="N25" s="64" t="s">
        <v>33</v>
      </c>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67">
        <v>45687</v>
      </c>
      <c r="BX25" s="2"/>
      <c r="BY25" s="64" t="s">
        <v>1798</v>
      </c>
      <c r="BZ25" s="1" t="s">
        <v>1695</v>
      </c>
      <c r="CA25" s="14">
        <f t="shared" si="6"/>
        <v>0</v>
      </c>
      <c r="CB25" s="2" t="str">
        <f t="shared" si="7"/>
        <v>CORRIGIR</v>
      </c>
      <c r="CC25" s="13">
        <f t="shared" si="8"/>
        <v>5907</v>
      </c>
    </row>
    <row r="26" spans="1:81" s="9" customFormat="1" ht="60" customHeight="1" x14ac:dyDescent="0.25">
      <c r="A26" s="2" t="s">
        <v>1423</v>
      </c>
      <c r="B26" s="2" t="s">
        <v>1122</v>
      </c>
      <c r="C26" s="2" t="s">
        <v>681</v>
      </c>
      <c r="D26" s="12" t="s">
        <v>1123</v>
      </c>
      <c r="E26" s="2"/>
      <c r="F26" s="2" t="s">
        <v>72</v>
      </c>
      <c r="G26" s="2" t="s">
        <v>2020</v>
      </c>
      <c r="H26" s="2" t="s">
        <v>66</v>
      </c>
      <c r="I26" s="2" t="s">
        <v>1618</v>
      </c>
      <c r="J26" s="2" t="s">
        <v>1618</v>
      </c>
      <c r="K26" s="2" t="s">
        <v>384</v>
      </c>
      <c r="L26" s="7">
        <v>231693</v>
      </c>
      <c r="M26" s="22">
        <v>231693</v>
      </c>
      <c r="N26" s="2" t="s">
        <v>11</v>
      </c>
      <c r="O26" s="7"/>
      <c r="P26" s="7"/>
      <c r="Q26" s="7"/>
      <c r="R26" s="7"/>
      <c r="S26" s="7"/>
      <c r="T26" s="7"/>
      <c r="U26" s="7"/>
      <c r="V26" s="7"/>
      <c r="W26" s="7"/>
      <c r="X26" s="7"/>
      <c r="Y26" s="7"/>
      <c r="Z26" s="7"/>
      <c r="AA26" s="7">
        <f>M26</f>
        <v>231693</v>
      </c>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8">
        <v>45777</v>
      </c>
      <c r="BX26" s="2"/>
      <c r="BY26" s="2" t="s">
        <v>1801</v>
      </c>
      <c r="BZ26" s="1" t="s">
        <v>1695</v>
      </c>
      <c r="CA26" s="14">
        <f t="shared" si="6"/>
        <v>231693</v>
      </c>
      <c r="CB26" s="2" t="str">
        <f t="shared" si="7"/>
        <v>OK</v>
      </c>
      <c r="CC26" s="13">
        <f t="shared" si="8"/>
        <v>0</v>
      </c>
    </row>
    <row r="27" spans="1:81" s="9" customFormat="1" ht="85.5" customHeight="1" x14ac:dyDescent="0.25">
      <c r="A27" s="2" t="s">
        <v>1564</v>
      </c>
      <c r="B27" s="2" t="s">
        <v>1050</v>
      </c>
      <c r="C27" s="2" t="s">
        <v>1051</v>
      </c>
      <c r="D27" s="12" t="s">
        <v>1052</v>
      </c>
      <c r="E27" s="2"/>
      <c r="F27" s="2" t="s">
        <v>1691</v>
      </c>
      <c r="G27" s="2" t="s">
        <v>2020</v>
      </c>
      <c r="H27" s="2" t="s">
        <v>66</v>
      </c>
      <c r="I27" s="2" t="s">
        <v>5</v>
      </c>
      <c r="J27" s="23">
        <v>2100</v>
      </c>
      <c r="K27" s="2" t="s">
        <v>384</v>
      </c>
      <c r="L27" s="22">
        <v>234216792</v>
      </c>
      <c r="M27" s="22">
        <v>107999965.2</v>
      </c>
      <c r="N27" s="2" t="s">
        <v>33</v>
      </c>
      <c r="O27" s="7">
        <v>0</v>
      </c>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30">
        <v>107999965.2</v>
      </c>
      <c r="BN27" s="7"/>
      <c r="BO27" s="7"/>
      <c r="BP27" s="7"/>
      <c r="BQ27" s="7"/>
      <c r="BR27" s="7"/>
      <c r="BS27" s="7"/>
      <c r="BT27" s="7"/>
      <c r="BU27" s="7"/>
      <c r="BV27" s="7"/>
      <c r="BW27" s="8">
        <v>45807</v>
      </c>
      <c r="BX27" s="2"/>
      <c r="BY27" s="2" t="s">
        <v>1799</v>
      </c>
      <c r="BZ27" s="57"/>
      <c r="CA27" s="14">
        <f t="shared" si="6"/>
        <v>107999965.2</v>
      </c>
      <c r="CB27" s="2" t="str">
        <f t="shared" si="7"/>
        <v>OK</v>
      </c>
      <c r="CC27" s="13">
        <f t="shared" si="8"/>
        <v>0</v>
      </c>
    </row>
    <row r="28" spans="1:81" s="9" customFormat="1" ht="60" customHeight="1" x14ac:dyDescent="0.25">
      <c r="A28" s="2" t="s">
        <v>1571</v>
      </c>
      <c r="B28" s="2" t="s">
        <v>1071</v>
      </c>
      <c r="C28" s="2" t="s">
        <v>1051</v>
      </c>
      <c r="D28" s="12" t="s">
        <v>1072</v>
      </c>
      <c r="E28" s="2"/>
      <c r="F28" s="2" t="s">
        <v>1691</v>
      </c>
      <c r="G28" s="2" t="s">
        <v>2020</v>
      </c>
      <c r="H28" s="2" t="s">
        <v>66</v>
      </c>
      <c r="I28" s="2" t="s">
        <v>5</v>
      </c>
      <c r="J28" s="23">
        <v>20000</v>
      </c>
      <c r="K28" s="2" t="s">
        <v>384</v>
      </c>
      <c r="L28" s="22">
        <v>50000000</v>
      </c>
      <c r="M28" s="22">
        <v>27000000</v>
      </c>
      <c r="N28" s="2" t="s">
        <v>33</v>
      </c>
      <c r="O28" s="7">
        <v>0</v>
      </c>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30">
        <v>27000000</v>
      </c>
      <c r="BN28" s="7"/>
      <c r="BO28" s="7"/>
      <c r="BP28" s="7"/>
      <c r="BQ28" s="7"/>
      <c r="BR28" s="7"/>
      <c r="BS28" s="7"/>
      <c r="BT28" s="7"/>
      <c r="BU28" s="7"/>
      <c r="BV28" s="7"/>
      <c r="BW28" s="8">
        <v>45853</v>
      </c>
      <c r="BX28" s="2"/>
      <c r="BY28" s="2" t="s">
        <v>1799</v>
      </c>
      <c r="BZ28" s="1" t="s">
        <v>1695</v>
      </c>
      <c r="CA28" s="14">
        <f t="shared" si="6"/>
        <v>27000000</v>
      </c>
      <c r="CB28" s="2" t="str">
        <f t="shared" si="7"/>
        <v>OK</v>
      </c>
      <c r="CC28" s="13">
        <f t="shared" si="8"/>
        <v>0</v>
      </c>
    </row>
    <row r="29" spans="1:81" s="9" customFormat="1" ht="60" customHeight="1" x14ac:dyDescent="0.25">
      <c r="A29" s="64" t="s">
        <v>1573</v>
      </c>
      <c r="B29" s="2" t="s">
        <v>1073</v>
      </c>
      <c r="C29" s="64" t="s">
        <v>1051</v>
      </c>
      <c r="D29" s="65" t="s">
        <v>1074</v>
      </c>
      <c r="E29" s="2"/>
      <c r="F29" s="64" t="s">
        <v>1691</v>
      </c>
      <c r="G29" s="64" t="s">
        <v>2020</v>
      </c>
      <c r="H29" s="64" t="s">
        <v>66</v>
      </c>
      <c r="I29" s="64" t="s">
        <v>5</v>
      </c>
      <c r="J29" s="81">
        <v>5000</v>
      </c>
      <c r="K29" s="64" t="s">
        <v>384</v>
      </c>
      <c r="L29" s="66">
        <v>35000000</v>
      </c>
      <c r="M29" s="66">
        <f>22498000-3430000-5000000-2000000-2620000-2380000</f>
        <v>7068000</v>
      </c>
      <c r="N29" s="64" t="s">
        <v>33</v>
      </c>
      <c r="O29" s="7">
        <v>0</v>
      </c>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v>22498000</v>
      </c>
      <c r="BN29" s="7"/>
      <c r="BO29" s="7"/>
      <c r="BP29" s="7"/>
      <c r="BQ29" s="7"/>
      <c r="BR29" s="7"/>
      <c r="BS29" s="7"/>
      <c r="BT29" s="7"/>
      <c r="BU29" s="7"/>
      <c r="BV29" s="7"/>
      <c r="BW29" s="67">
        <v>45853</v>
      </c>
      <c r="BX29" s="2"/>
      <c r="BY29" s="64" t="s">
        <v>1799</v>
      </c>
      <c r="BZ29" s="1" t="s">
        <v>1695</v>
      </c>
      <c r="CA29" s="14">
        <f t="shared" si="6"/>
        <v>22498000</v>
      </c>
      <c r="CB29" s="2" t="str">
        <f t="shared" si="7"/>
        <v>CORRIGIR</v>
      </c>
      <c r="CC29" s="13">
        <f t="shared" si="8"/>
        <v>-15430000</v>
      </c>
    </row>
    <row r="30" spans="1:81" s="9" customFormat="1" ht="60" customHeight="1" x14ac:dyDescent="0.25">
      <c r="A30" s="64" t="s">
        <v>1994</v>
      </c>
      <c r="B30" s="2" t="s">
        <v>2062</v>
      </c>
      <c r="C30" s="64" t="s">
        <v>1051</v>
      </c>
      <c r="D30" s="65" t="s">
        <v>1995</v>
      </c>
      <c r="E30" s="2"/>
      <c r="F30" s="64" t="s">
        <v>1691</v>
      </c>
      <c r="G30" s="64" t="s">
        <v>2020</v>
      </c>
      <c r="H30" s="64" t="s">
        <v>66</v>
      </c>
      <c r="I30" s="64" t="s">
        <v>1618</v>
      </c>
      <c r="J30" s="81" t="s">
        <v>1618</v>
      </c>
      <c r="K30" s="64" t="s">
        <v>384</v>
      </c>
      <c r="L30" s="66">
        <v>2000000</v>
      </c>
      <c r="M30" s="66">
        <v>2000000</v>
      </c>
      <c r="N30" s="64" t="s">
        <v>33</v>
      </c>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67">
        <v>45930</v>
      </c>
      <c r="BX30" s="92" t="s">
        <v>2008</v>
      </c>
      <c r="BY30" s="67" t="s">
        <v>1801</v>
      </c>
      <c r="BZ30" s="1" t="s">
        <v>1695</v>
      </c>
      <c r="CA30" s="14">
        <f t="shared" si="6"/>
        <v>0</v>
      </c>
      <c r="CB30" s="2" t="str">
        <f t="shared" si="7"/>
        <v>CORRIGIR</v>
      </c>
      <c r="CC30" s="13">
        <f t="shared" si="8"/>
        <v>2000000</v>
      </c>
    </row>
    <row r="31" spans="1:81" s="9" customFormat="1" ht="60" customHeight="1" x14ac:dyDescent="0.25">
      <c r="A31" s="64" t="s">
        <v>2009</v>
      </c>
      <c r="B31" s="2" t="s">
        <v>2062</v>
      </c>
      <c r="C31" s="64" t="s">
        <v>1051</v>
      </c>
      <c r="D31" s="65" t="s">
        <v>2010</v>
      </c>
      <c r="E31" s="2"/>
      <c r="F31" s="64" t="s">
        <v>1694</v>
      </c>
      <c r="G31" s="64" t="s">
        <v>2020</v>
      </c>
      <c r="H31" s="64" t="s">
        <v>66</v>
      </c>
      <c r="I31" s="64" t="s">
        <v>1618</v>
      </c>
      <c r="J31" s="81" t="s">
        <v>1618</v>
      </c>
      <c r="K31" s="64" t="s">
        <v>384</v>
      </c>
      <c r="L31" s="66">
        <v>2620000</v>
      </c>
      <c r="M31" s="66">
        <v>2620000</v>
      </c>
      <c r="N31" s="64" t="s">
        <v>33</v>
      </c>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67">
        <v>45930</v>
      </c>
      <c r="BX31" s="92" t="s">
        <v>2008</v>
      </c>
      <c r="BY31" s="67" t="s">
        <v>1974</v>
      </c>
      <c r="BZ31" s="1" t="s">
        <v>1695</v>
      </c>
      <c r="CA31" s="14">
        <f t="shared" si="6"/>
        <v>0</v>
      </c>
      <c r="CB31" s="2" t="str">
        <f t="shared" si="7"/>
        <v>CORRIGIR</v>
      </c>
      <c r="CC31" s="13">
        <f t="shared" si="8"/>
        <v>2620000</v>
      </c>
    </row>
    <row r="32" spans="1:81" s="9" customFormat="1" ht="60" customHeight="1" x14ac:dyDescent="0.25">
      <c r="A32" s="64" t="s">
        <v>1574</v>
      </c>
      <c r="B32" s="2" t="s">
        <v>1069</v>
      </c>
      <c r="C32" s="64" t="s">
        <v>1051</v>
      </c>
      <c r="D32" s="65" t="s">
        <v>1070</v>
      </c>
      <c r="E32" s="2"/>
      <c r="F32" s="64" t="s">
        <v>1694</v>
      </c>
      <c r="G32" s="64" t="s">
        <v>2020</v>
      </c>
      <c r="H32" s="64" t="s">
        <v>66</v>
      </c>
      <c r="I32" s="64" t="s">
        <v>5</v>
      </c>
      <c r="J32" s="81">
        <f>1000+750</f>
        <v>1750</v>
      </c>
      <c r="K32" s="64" t="s">
        <v>384</v>
      </c>
      <c r="L32" s="66">
        <f>5000000+3430000</f>
        <v>8430000</v>
      </c>
      <c r="M32" s="66">
        <f>2500000+5930000</f>
        <v>8430000</v>
      </c>
      <c r="N32" s="64" t="s">
        <v>33</v>
      </c>
      <c r="O32" s="64">
        <v>0</v>
      </c>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v>5000000</v>
      </c>
      <c r="BN32" s="64"/>
      <c r="BO32" s="64"/>
      <c r="BP32" s="64"/>
      <c r="BQ32" s="64"/>
      <c r="BR32" s="64"/>
      <c r="BS32" s="64"/>
      <c r="BT32" s="64"/>
      <c r="BU32" s="64"/>
      <c r="BV32" s="64"/>
      <c r="BW32" s="67">
        <v>45930</v>
      </c>
      <c r="BX32" s="64"/>
      <c r="BY32" s="64" t="s">
        <v>1974</v>
      </c>
      <c r="BZ32" s="1" t="s">
        <v>1698</v>
      </c>
      <c r="CA32" s="14">
        <f t="shared" si="6"/>
        <v>5000000</v>
      </c>
      <c r="CB32" s="2" t="str">
        <f t="shared" si="7"/>
        <v>CORRIGIR</v>
      </c>
      <c r="CC32" s="13">
        <f t="shared" si="8"/>
        <v>3430000</v>
      </c>
    </row>
    <row r="33" spans="1:81" s="9" customFormat="1" ht="81" customHeight="1" x14ac:dyDescent="0.25">
      <c r="A33" s="64" t="s">
        <v>1993</v>
      </c>
      <c r="B33" s="2" t="s">
        <v>2062</v>
      </c>
      <c r="C33" s="64" t="s">
        <v>1051</v>
      </c>
      <c r="D33" s="65" t="s">
        <v>2007</v>
      </c>
      <c r="E33" s="2"/>
      <c r="F33" s="64" t="s">
        <v>1691</v>
      </c>
      <c r="G33" s="64" t="s">
        <v>2020</v>
      </c>
      <c r="H33" s="64" t="s">
        <v>66</v>
      </c>
      <c r="I33" s="64" t="s">
        <v>5</v>
      </c>
      <c r="J33" s="81">
        <v>850</v>
      </c>
      <c r="K33" s="64" t="s">
        <v>384</v>
      </c>
      <c r="L33" s="66">
        <v>5000000</v>
      </c>
      <c r="M33" s="66">
        <v>5000000</v>
      </c>
      <c r="N33" s="64" t="s">
        <v>33</v>
      </c>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67">
        <v>45930</v>
      </c>
      <c r="BX33" s="2"/>
      <c r="BY33" s="67" t="s">
        <v>1799</v>
      </c>
      <c r="BZ33" s="1" t="s">
        <v>1698</v>
      </c>
      <c r="CA33" s="14">
        <f t="shared" si="6"/>
        <v>0</v>
      </c>
      <c r="CB33" s="2" t="str">
        <f t="shared" si="7"/>
        <v>CORRIGIR</v>
      </c>
      <c r="CC33" s="13">
        <f t="shared" si="8"/>
        <v>5000000</v>
      </c>
    </row>
    <row r="34" spans="1:81" s="9" customFormat="1" ht="80.25" customHeight="1" x14ac:dyDescent="0.25">
      <c r="A34" s="64" t="s">
        <v>2011</v>
      </c>
      <c r="B34" s="2" t="s">
        <v>2062</v>
      </c>
      <c r="C34" s="64" t="s">
        <v>1051</v>
      </c>
      <c r="D34" s="65" t="s">
        <v>2012</v>
      </c>
      <c r="E34" s="2"/>
      <c r="F34" s="64" t="s">
        <v>1694</v>
      </c>
      <c r="G34" s="64" t="s">
        <v>2020</v>
      </c>
      <c r="H34" s="64" t="s">
        <v>66</v>
      </c>
      <c r="I34" s="64" t="s">
        <v>1618</v>
      </c>
      <c r="J34" s="81" t="s">
        <v>1618</v>
      </c>
      <c r="K34" s="64" t="s">
        <v>384</v>
      </c>
      <c r="L34" s="66">
        <v>2380000</v>
      </c>
      <c r="M34" s="66">
        <v>2380000</v>
      </c>
      <c r="N34" s="64" t="s">
        <v>33</v>
      </c>
      <c r="O34" s="67">
        <v>45930</v>
      </c>
      <c r="P34" s="92"/>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67">
        <v>45930</v>
      </c>
      <c r="BX34" s="92"/>
      <c r="BY34" s="67" t="s">
        <v>1974</v>
      </c>
      <c r="BZ34" s="57"/>
      <c r="CA34" s="14">
        <f t="shared" si="6"/>
        <v>45930</v>
      </c>
      <c r="CB34" s="2" t="str">
        <f t="shared" si="7"/>
        <v>CORRIGIR</v>
      </c>
      <c r="CC34" s="13">
        <f t="shared" si="8"/>
        <v>2334070</v>
      </c>
    </row>
    <row r="35" spans="1:81" s="9" customFormat="1" ht="150.75" customHeight="1" x14ac:dyDescent="0.25">
      <c r="A35" s="64" t="s">
        <v>1332</v>
      </c>
      <c r="B35" s="57" t="s">
        <v>551</v>
      </c>
      <c r="C35" s="64" t="s">
        <v>552</v>
      </c>
      <c r="D35" s="65" t="s">
        <v>553</v>
      </c>
      <c r="E35" s="57"/>
      <c r="F35" s="64" t="s">
        <v>72</v>
      </c>
      <c r="G35" s="64" t="s">
        <v>2020</v>
      </c>
      <c r="H35" s="64" t="s">
        <v>66</v>
      </c>
      <c r="I35" s="64" t="s">
        <v>5</v>
      </c>
      <c r="J35" s="64" t="s">
        <v>1618</v>
      </c>
      <c r="K35" s="64" t="s">
        <v>384</v>
      </c>
      <c r="L35" s="66">
        <v>40000000</v>
      </c>
      <c r="M35" s="66">
        <f>15000000-1300000-2000000-5143750</f>
        <v>6556250</v>
      </c>
      <c r="N35" s="64" t="s">
        <v>555</v>
      </c>
      <c r="O35" s="58"/>
      <c r="P35" s="58"/>
      <c r="Q35" s="58"/>
      <c r="R35" s="58"/>
      <c r="S35" s="58"/>
      <c r="T35" s="58"/>
      <c r="U35" s="58">
        <v>450000</v>
      </c>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f>6300000-1300000</f>
        <v>5000000</v>
      </c>
      <c r="BD35" s="58">
        <f>8250000-2000000</f>
        <v>6250000</v>
      </c>
      <c r="BE35" s="58"/>
      <c r="BF35" s="58"/>
      <c r="BG35" s="58"/>
      <c r="BH35" s="58"/>
      <c r="BI35" s="58"/>
      <c r="BJ35" s="58"/>
      <c r="BK35" s="58"/>
      <c r="BL35" s="58"/>
      <c r="BM35" s="58"/>
      <c r="BN35" s="58"/>
      <c r="BO35" s="58"/>
      <c r="BP35" s="58"/>
      <c r="BQ35" s="58"/>
      <c r="BR35" s="58"/>
      <c r="BS35" s="58"/>
      <c r="BT35" s="58"/>
      <c r="BU35" s="58"/>
      <c r="BV35" s="58"/>
      <c r="BW35" s="67">
        <v>45931</v>
      </c>
      <c r="BX35" s="57"/>
      <c r="BY35" s="64" t="s">
        <v>1801</v>
      </c>
      <c r="BZ35" s="57"/>
      <c r="CA35" s="14">
        <f t="shared" si="6"/>
        <v>11700000</v>
      </c>
      <c r="CB35" s="2" t="str">
        <f t="shared" si="7"/>
        <v>CORRIGIR</v>
      </c>
      <c r="CC35" s="13">
        <f t="shared" si="8"/>
        <v>-5143750</v>
      </c>
    </row>
    <row r="36" spans="1:81" s="9" customFormat="1" ht="87.75" customHeight="1" x14ac:dyDescent="0.25">
      <c r="A36" s="2" t="s">
        <v>1398</v>
      </c>
      <c r="B36" s="2" t="s">
        <v>710</v>
      </c>
      <c r="C36" s="2" t="s">
        <v>711</v>
      </c>
      <c r="D36" s="12" t="s">
        <v>712</v>
      </c>
      <c r="E36" s="2"/>
      <c r="F36" s="2" t="s">
        <v>65</v>
      </c>
      <c r="G36" s="2" t="s">
        <v>2021</v>
      </c>
      <c r="H36" s="2" t="s">
        <v>66</v>
      </c>
      <c r="I36" s="2" t="s">
        <v>5</v>
      </c>
      <c r="J36" s="2">
        <v>200</v>
      </c>
      <c r="K36" s="2" t="s">
        <v>67</v>
      </c>
      <c r="L36" s="22">
        <v>400000</v>
      </c>
      <c r="M36" s="22">
        <v>400000</v>
      </c>
      <c r="N36" s="2" t="s">
        <v>713</v>
      </c>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v>400000</v>
      </c>
      <c r="BC36" s="7"/>
      <c r="BD36" s="7"/>
      <c r="BE36" s="7"/>
      <c r="BF36" s="7"/>
      <c r="BG36" s="7"/>
      <c r="BH36" s="7"/>
      <c r="BI36" s="7"/>
      <c r="BJ36" s="7"/>
      <c r="BK36" s="7"/>
      <c r="BL36" s="7"/>
      <c r="BM36" s="7"/>
      <c r="BN36" s="7"/>
      <c r="BO36" s="7"/>
      <c r="BP36" s="7"/>
      <c r="BQ36" s="7"/>
      <c r="BR36" s="7"/>
      <c r="BS36" s="7"/>
      <c r="BT36" s="7"/>
      <c r="BU36" s="7"/>
      <c r="BV36" s="7"/>
      <c r="BW36" s="8">
        <v>45789</v>
      </c>
      <c r="BX36" s="2"/>
      <c r="BY36" s="2" t="s">
        <v>1800</v>
      </c>
      <c r="BZ36" s="1" t="s">
        <v>1697</v>
      </c>
      <c r="CA36" s="14">
        <f t="shared" si="6"/>
        <v>400000</v>
      </c>
      <c r="CB36" s="2" t="str">
        <f t="shared" si="7"/>
        <v>OK</v>
      </c>
      <c r="CC36" s="13">
        <f t="shared" si="8"/>
        <v>0</v>
      </c>
    </row>
    <row r="37" spans="1:81" s="9" customFormat="1" ht="75.75" customHeight="1" x14ac:dyDescent="0.25">
      <c r="A37" s="2" t="s">
        <v>1235</v>
      </c>
      <c r="B37" s="2" t="s">
        <v>349</v>
      </c>
      <c r="C37" s="2" t="s">
        <v>350</v>
      </c>
      <c r="D37" s="12" t="s">
        <v>351</v>
      </c>
      <c r="E37" s="2"/>
      <c r="F37" s="2" t="s">
        <v>65</v>
      </c>
      <c r="G37" s="2" t="s">
        <v>2021</v>
      </c>
      <c r="H37" s="2" t="s">
        <v>66</v>
      </c>
      <c r="I37" s="2" t="s">
        <v>5</v>
      </c>
      <c r="J37" s="2">
        <v>80</v>
      </c>
      <c r="K37" s="2" t="s">
        <v>67</v>
      </c>
      <c r="L37" s="22">
        <v>32000</v>
      </c>
      <c r="M37" s="22">
        <v>32000</v>
      </c>
      <c r="N37" s="2" t="s">
        <v>20</v>
      </c>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v>32000</v>
      </c>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8">
        <v>45965</v>
      </c>
      <c r="BX37" s="2"/>
      <c r="BY37" s="2" t="s">
        <v>1798</v>
      </c>
      <c r="BZ37" s="1" t="s">
        <v>1698</v>
      </c>
      <c r="CA37" s="14">
        <f t="shared" si="6"/>
        <v>32000</v>
      </c>
      <c r="CB37" s="2" t="str">
        <f t="shared" si="7"/>
        <v>OK</v>
      </c>
      <c r="CC37" s="13">
        <f t="shared" si="8"/>
        <v>0</v>
      </c>
    </row>
    <row r="38" spans="1:81" s="9" customFormat="1" ht="72" customHeight="1" x14ac:dyDescent="0.25">
      <c r="A38" s="2" t="s">
        <v>1223</v>
      </c>
      <c r="B38" s="2" t="s">
        <v>280</v>
      </c>
      <c r="C38" s="2" t="s">
        <v>274</v>
      </c>
      <c r="D38" s="12" t="s">
        <v>281</v>
      </c>
      <c r="E38" s="2"/>
      <c r="F38" s="2" t="s">
        <v>72</v>
      </c>
      <c r="G38" s="2" t="s">
        <v>2021</v>
      </c>
      <c r="H38" s="2" t="s">
        <v>66</v>
      </c>
      <c r="I38" s="2" t="s">
        <v>5</v>
      </c>
      <c r="J38" s="2">
        <v>500</v>
      </c>
      <c r="K38" s="2" t="s">
        <v>67</v>
      </c>
      <c r="L38" s="22">
        <v>420750</v>
      </c>
      <c r="M38" s="22">
        <v>420750</v>
      </c>
      <c r="N38" s="2" t="s">
        <v>282</v>
      </c>
      <c r="O38" s="7">
        <v>0</v>
      </c>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v>420750</v>
      </c>
      <c r="BO38" s="7"/>
      <c r="BP38" s="7"/>
      <c r="BQ38" s="7"/>
      <c r="BR38" s="7"/>
      <c r="BS38" s="7"/>
      <c r="BT38" s="7"/>
      <c r="BU38" s="7"/>
      <c r="BV38" s="7"/>
      <c r="BW38" s="8">
        <v>45987</v>
      </c>
      <c r="BX38" s="2"/>
      <c r="BY38" s="2" t="s">
        <v>1801</v>
      </c>
      <c r="BZ38" s="1" t="s">
        <v>1697</v>
      </c>
      <c r="CA38" s="14">
        <f t="shared" si="6"/>
        <v>420750</v>
      </c>
      <c r="CB38" s="2" t="str">
        <f t="shared" si="7"/>
        <v>OK</v>
      </c>
      <c r="CC38" s="13">
        <f t="shared" si="8"/>
        <v>0</v>
      </c>
    </row>
    <row r="39" spans="1:81" s="9" customFormat="1" ht="92.25" customHeight="1" x14ac:dyDescent="0.25">
      <c r="A39" s="64" t="s">
        <v>2085</v>
      </c>
      <c r="B39" s="64" t="s">
        <v>1047</v>
      </c>
      <c r="C39" s="64" t="s">
        <v>1048</v>
      </c>
      <c r="D39" s="65" t="s">
        <v>1049</v>
      </c>
      <c r="E39" s="2"/>
      <c r="F39" s="64" t="s">
        <v>72</v>
      </c>
      <c r="G39" s="64" t="s">
        <v>2022</v>
      </c>
      <c r="H39" s="64" t="s">
        <v>66</v>
      </c>
      <c r="I39" s="64" t="s">
        <v>686</v>
      </c>
      <c r="J39" s="64" t="s">
        <v>1614</v>
      </c>
      <c r="K39" s="64" t="s">
        <v>67</v>
      </c>
      <c r="L39" s="66">
        <v>7720782.9500000002</v>
      </c>
      <c r="M39" s="66">
        <f>7720782.95-1006228.26-76660-600000-60000-145000-300000-277150-50000-39086.4-143537.35-236000</f>
        <v>4787120.9400000004</v>
      </c>
      <c r="N39" s="64" t="s">
        <v>20</v>
      </c>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f>7720782.95-1006228.26</f>
        <v>6714554.6900000004</v>
      </c>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67">
        <v>45723</v>
      </c>
      <c r="BX39" s="2"/>
      <c r="BY39" s="64" t="s">
        <v>1799</v>
      </c>
      <c r="BZ39" s="1" t="s">
        <v>1697</v>
      </c>
      <c r="CA39" s="14">
        <f t="shared" si="6"/>
        <v>6714554.6900000004</v>
      </c>
      <c r="CB39" s="2" t="str">
        <f t="shared" si="7"/>
        <v>CORRIGIR</v>
      </c>
      <c r="CC39" s="13">
        <f t="shared" si="8"/>
        <v>-1927433.75</v>
      </c>
    </row>
    <row r="40" spans="1:81" s="9" customFormat="1" ht="90.75" customHeight="1" x14ac:dyDescent="0.25">
      <c r="A40" s="64" t="s">
        <v>1971</v>
      </c>
      <c r="B40" s="64"/>
      <c r="C40" s="64" t="s">
        <v>562</v>
      </c>
      <c r="D40" s="65" t="s">
        <v>1972</v>
      </c>
      <c r="E40" s="2"/>
      <c r="F40" s="64" t="s">
        <v>1973</v>
      </c>
      <c r="G40" s="64" t="s">
        <v>2022</v>
      </c>
      <c r="H40" s="64" t="s">
        <v>66</v>
      </c>
      <c r="I40" s="64" t="s">
        <v>686</v>
      </c>
      <c r="J40" s="64" t="s">
        <v>1618</v>
      </c>
      <c r="K40" s="64" t="s">
        <v>67</v>
      </c>
      <c r="L40" s="66">
        <v>33125</v>
      </c>
      <c r="M40" s="66">
        <v>33125</v>
      </c>
      <c r="N40" s="64" t="s">
        <v>1927</v>
      </c>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67">
        <v>45743</v>
      </c>
      <c r="BX40" s="2"/>
      <c r="BY40" s="64" t="s">
        <v>1974</v>
      </c>
      <c r="BZ40" s="1"/>
      <c r="CA40" s="14"/>
      <c r="CB40" s="2"/>
      <c r="CC40" s="13"/>
    </row>
    <row r="41" spans="1:81" s="9" customFormat="1" ht="135" customHeight="1" x14ac:dyDescent="0.25">
      <c r="A41" s="64" t="s">
        <v>2086</v>
      </c>
      <c r="B41" s="64" t="s">
        <v>2087</v>
      </c>
      <c r="C41" s="64" t="s">
        <v>562</v>
      </c>
      <c r="D41" s="65" t="s">
        <v>2088</v>
      </c>
      <c r="E41" s="2"/>
      <c r="F41" s="64" t="s">
        <v>1928</v>
      </c>
      <c r="G41" s="64" t="s">
        <v>2022</v>
      </c>
      <c r="H41" s="64" t="s">
        <v>66</v>
      </c>
      <c r="I41" s="64" t="s">
        <v>686</v>
      </c>
      <c r="J41" s="64" t="s">
        <v>1618</v>
      </c>
      <c r="K41" s="64" t="s">
        <v>67</v>
      </c>
      <c r="L41" s="66">
        <v>76660</v>
      </c>
      <c r="M41" s="66">
        <v>76660</v>
      </c>
      <c r="N41" s="64" t="s">
        <v>20</v>
      </c>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67">
        <v>45914</v>
      </c>
      <c r="BX41" s="2"/>
      <c r="BY41" s="64" t="s">
        <v>1798</v>
      </c>
      <c r="BZ41" s="1"/>
      <c r="CA41" s="14"/>
      <c r="CB41" s="2"/>
      <c r="CC41" s="13"/>
    </row>
    <row r="42" spans="1:81" s="9" customFormat="1" ht="118.5" customHeight="1" x14ac:dyDescent="0.25">
      <c r="A42" s="64" t="s">
        <v>2089</v>
      </c>
      <c r="B42" s="64" t="s">
        <v>2087</v>
      </c>
      <c r="C42" s="64" t="s">
        <v>274</v>
      </c>
      <c r="D42" s="65" t="s">
        <v>2090</v>
      </c>
      <c r="E42" s="2"/>
      <c r="F42" s="64" t="s">
        <v>1930</v>
      </c>
      <c r="G42" s="64" t="s">
        <v>2022</v>
      </c>
      <c r="H42" s="64" t="s">
        <v>66</v>
      </c>
      <c r="I42" s="64" t="s">
        <v>686</v>
      </c>
      <c r="J42" s="64" t="s">
        <v>1618</v>
      </c>
      <c r="K42" s="64" t="s">
        <v>67</v>
      </c>
      <c r="L42" s="66">
        <v>39086.400000000001</v>
      </c>
      <c r="M42" s="66">
        <v>39086.400000000001</v>
      </c>
      <c r="N42" s="64" t="s">
        <v>20</v>
      </c>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67">
        <v>45944</v>
      </c>
      <c r="BX42" s="2"/>
      <c r="BY42" s="64" t="s">
        <v>1798</v>
      </c>
      <c r="BZ42" s="1"/>
      <c r="CA42" s="14"/>
      <c r="CB42" s="2"/>
      <c r="CC42" s="13"/>
    </row>
    <row r="43" spans="1:81" s="9" customFormat="1" ht="131.25" customHeight="1" x14ac:dyDescent="0.25">
      <c r="A43" s="64" t="s">
        <v>2091</v>
      </c>
      <c r="B43" s="64" t="s">
        <v>2087</v>
      </c>
      <c r="C43" s="64" t="s">
        <v>331</v>
      </c>
      <c r="D43" s="65" t="s">
        <v>2092</v>
      </c>
      <c r="E43" s="2"/>
      <c r="F43" s="64" t="s">
        <v>1928</v>
      </c>
      <c r="G43" s="64" t="s">
        <v>2022</v>
      </c>
      <c r="H43" s="64" t="s">
        <v>66</v>
      </c>
      <c r="I43" s="64" t="s">
        <v>686</v>
      </c>
      <c r="J43" s="64" t="s">
        <v>1618</v>
      </c>
      <c r="K43" s="64" t="s">
        <v>67</v>
      </c>
      <c r="L43" s="66">
        <v>600000</v>
      </c>
      <c r="M43" s="66">
        <v>600000</v>
      </c>
      <c r="N43" s="64" t="s">
        <v>20</v>
      </c>
      <c r="O43" s="67">
        <v>45944</v>
      </c>
      <c r="P43" s="64" t="s">
        <v>1798</v>
      </c>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67">
        <v>45947</v>
      </c>
      <c r="BX43" s="2"/>
      <c r="BY43" s="64" t="s">
        <v>1800</v>
      </c>
      <c r="BZ43" s="1"/>
      <c r="CA43" s="14"/>
      <c r="CB43" s="2"/>
      <c r="CC43" s="13"/>
    </row>
    <row r="44" spans="1:81" s="9" customFormat="1" ht="75.75" customHeight="1" x14ac:dyDescent="0.25">
      <c r="A44" s="64" t="s">
        <v>2124</v>
      </c>
      <c r="B44" s="64"/>
      <c r="C44" s="64" t="s">
        <v>1048</v>
      </c>
      <c r="D44" s="65" t="s">
        <v>2125</v>
      </c>
      <c r="E44" s="2"/>
      <c r="F44" s="64" t="s">
        <v>2126</v>
      </c>
      <c r="G44" s="64" t="s">
        <v>2022</v>
      </c>
      <c r="H44" s="64" t="s">
        <v>66</v>
      </c>
      <c r="I44" s="64" t="s">
        <v>1618</v>
      </c>
      <c r="J44" s="64" t="s">
        <v>1618</v>
      </c>
      <c r="K44" s="64" t="s">
        <v>67</v>
      </c>
      <c r="L44" s="66">
        <v>62000</v>
      </c>
      <c r="M44" s="66">
        <v>62000</v>
      </c>
      <c r="N44" s="64" t="s">
        <v>20</v>
      </c>
      <c r="O44" s="67"/>
      <c r="P44" s="64"/>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67">
        <v>45964</v>
      </c>
      <c r="BX44" s="2"/>
      <c r="BY44" s="64" t="s">
        <v>2127</v>
      </c>
      <c r="BZ44" s="1"/>
      <c r="CA44" s="14"/>
      <c r="CB44" s="2"/>
      <c r="CC44" s="13"/>
    </row>
    <row r="45" spans="1:81" s="9" customFormat="1" ht="102" customHeight="1" x14ac:dyDescent="0.25">
      <c r="A45" s="64" t="s">
        <v>2128</v>
      </c>
      <c r="B45" s="64"/>
      <c r="C45" s="64" t="s">
        <v>1048</v>
      </c>
      <c r="D45" s="65" t="s">
        <v>2136</v>
      </c>
      <c r="E45" s="2"/>
      <c r="F45" s="64" t="s">
        <v>2126</v>
      </c>
      <c r="G45" s="64" t="s">
        <v>2022</v>
      </c>
      <c r="H45" s="64" t="s">
        <v>66</v>
      </c>
      <c r="I45" s="64" t="s">
        <v>686</v>
      </c>
      <c r="J45" s="64">
        <v>1</v>
      </c>
      <c r="K45" s="64" t="s">
        <v>67</v>
      </c>
      <c r="L45" s="66">
        <v>62000</v>
      </c>
      <c r="M45" s="66">
        <v>62000</v>
      </c>
      <c r="N45" s="64" t="s">
        <v>20</v>
      </c>
      <c r="O45" s="67"/>
      <c r="P45" s="64"/>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67">
        <v>45965</v>
      </c>
      <c r="BX45" s="2"/>
      <c r="BY45" s="64" t="s">
        <v>2127</v>
      </c>
      <c r="BZ45" s="1"/>
      <c r="CA45" s="14"/>
      <c r="CB45" s="2"/>
      <c r="CC45" s="13"/>
    </row>
    <row r="46" spans="1:81" s="9" customFormat="1" ht="135" customHeight="1" x14ac:dyDescent="0.25">
      <c r="A46" s="64" t="s">
        <v>2129</v>
      </c>
      <c r="B46" s="64"/>
      <c r="C46" s="64" t="s">
        <v>1048</v>
      </c>
      <c r="D46" s="65" t="s">
        <v>2130</v>
      </c>
      <c r="E46" s="2"/>
      <c r="F46" s="64" t="s">
        <v>2126</v>
      </c>
      <c r="G46" s="64" t="s">
        <v>2022</v>
      </c>
      <c r="H46" s="64" t="s">
        <v>66</v>
      </c>
      <c r="I46" s="64" t="s">
        <v>686</v>
      </c>
      <c r="J46" s="64">
        <v>1</v>
      </c>
      <c r="K46" s="64" t="s">
        <v>67</v>
      </c>
      <c r="L46" s="66">
        <v>12000</v>
      </c>
      <c r="M46" s="66">
        <v>12000</v>
      </c>
      <c r="N46" s="64" t="s">
        <v>20</v>
      </c>
      <c r="O46" s="67"/>
      <c r="P46" s="64"/>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67">
        <v>45966</v>
      </c>
      <c r="BX46" s="2"/>
      <c r="BY46" s="64" t="s">
        <v>2127</v>
      </c>
      <c r="BZ46" s="1"/>
      <c r="CA46" s="14"/>
      <c r="CB46" s="2"/>
      <c r="CC46" s="13"/>
    </row>
    <row r="47" spans="1:81" s="9" customFormat="1" ht="124.5" customHeight="1" x14ac:dyDescent="0.25">
      <c r="A47" s="64" t="s">
        <v>2093</v>
      </c>
      <c r="B47" s="64" t="s">
        <v>2087</v>
      </c>
      <c r="C47" s="64" t="s">
        <v>591</v>
      </c>
      <c r="D47" s="65" t="s">
        <v>2094</v>
      </c>
      <c r="E47" s="2"/>
      <c r="F47" s="64" t="s">
        <v>2077</v>
      </c>
      <c r="G47" s="64" t="s">
        <v>2022</v>
      </c>
      <c r="H47" s="64" t="s">
        <v>66</v>
      </c>
      <c r="I47" s="64" t="s">
        <v>686</v>
      </c>
      <c r="J47" s="64" t="s">
        <v>1618</v>
      </c>
      <c r="K47" s="64" t="s">
        <v>67</v>
      </c>
      <c r="L47" s="66">
        <v>60000</v>
      </c>
      <c r="M47" s="66">
        <v>60000</v>
      </c>
      <c r="N47" s="64" t="s">
        <v>20</v>
      </c>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67">
        <v>45979</v>
      </c>
      <c r="BX47" s="2"/>
      <c r="BY47" s="64" t="s">
        <v>1799</v>
      </c>
      <c r="BZ47" s="1"/>
      <c r="CA47" s="14"/>
      <c r="CB47" s="2"/>
      <c r="CC47" s="13"/>
    </row>
    <row r="48" spans="1:81" s="9" customFormat="1" ht="101.25" customHeight="1" x14ac:dyDescent="0.25">
      <c r="A48" s="64" t="s">
        <v>2122</v>
      </c>
      <c r="B48" s="64"/>
      <c r="C48" s="64" t="s">
        <v>1048</v>
      </c>
      <c r="D48" s="65" t="s">
        <v>2123</v>
      </c>
      <c r="E48" s="2"/>
      <c r="F48" s="64" t="s">
        <v>2077</v>
      </c>
      <c r="G48" s="64" t="s">
        <v>2022</v>
      </c>
      <c r="H48" s="64" t="s">
        <v>66</v>
      </c>
      <c r="I48" s="64" t="s">
        <v>686</v>
      </c>
      <c r="J48" s="64" t="s">
        <v>1618</v>
      </c>
      <c r="K48" s="64" t="s">
        <v>67</v>
      </c>
      <c r="L48" s="66">
        <v>100000</v>
      </c>
      <c r="M48" s="66">
        <v>100000</v>
      </c>
      <c r="N48" s="64" t="s">
        <v>20</v>
      </c>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67">
        <v>45988</v>
      </c>
      <c r="BX48" s="2"/>
      <c r="BY48" s="64" t="s">
        <v>1799</v>
      </c>
      <c r="BZ48" s="1"/>
      <c r="CA48" s="14"/>
      <c r="CB48" s="2"/>
      <c r="CC48" s="13"/>
    </row>
    <row r="49" spans="1:81" s="9" customFormat="1" ht="126.75" customHeight="1" x14ac:dyDescent="0.25">
      <c r="A49" s="64" t="s">
        <v>2097</v>
      </c>
      <c r="B49" s="64" t="s">
        <v>2087</v>
      </c>
      <c r="C49" s="64" t="s">
        <v>591</v>
      </c>
      <c r="D49" s="65" t="s">
        <v>2098</v>
      </c>
      <c r="E49" s="2"/>
      <c r="F49" s="64" t="s">
        <v>2077</v>
      </c>
      <c r="G49" s="64" t="s">
        <v>2022</v>
      </c>
      <c r="H49" s="64" t="s">
        <v>66</v>
      </c>
      <c r="I49" s="64" t="s">
        <v>686</v>
      </c>
      <c r="J49" s="64" t="s">
        <v>1618</v>
      </c>
      <c r="K49" s="64" t="s">
        <v>67</v>
      </c>
      <c r="L49" s="66">
        <v>300000</v>
      </c>
      <c r="M49" s="66">
        <v>300000</v>
      </c>
      <c r="N49" s="64" t="s">
        <v>20</v>
      </c>
      <c r="O49" s="67">
        <v>45994</v>
      </c>
      <c r="P49" s="64" t="s">
        <v>1801</v>
      </c>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67">
        <v>45992</v>
      </c>
      <c r="BX49" s="2"/>
      <c r="BY49" s="64" t="s">
        <v>1801</v>
      </c>
      <c r="BZ49" s="1"/>
      <c r="CA49" s="14"/>
      <c r="CB49" s="2"/>
      <c r="CC49" s="13"/>
    </row>
    <row r="50" spans="1:81" s="9" customFormat="1" ht="156.75" customHeight="1" x14ac:dyDescent="0.25">
      <c r="A50" s="64" t="s">
        <v>2095</v>
      </c>
      <c r="B50" s="64" t="s">
        <v>2087</v>
      </c>
      <c r="C50" s="64" t="s">
        <v>643</v>
      </c>
      <c r="D50" s="65" t="s">
        <v>2096</v>
      </c>
      <c r="E50" s="2"/>
      <c r="F50" s="64" t="s">
        <v>2077</v>
      </c>
      <c r="G50" s="64" t="s">
        <v>2022</v>
      </c>
      <c r="H50" s="64" t="s">
        <v>66</v>
      </c>
      <c r="I50" s="64" t="s">
        <v>686</v>
      </c>
      <c r="J50" s="64" t="s">
        <v>1618</v>
      </c>
      <c r="K50" s="64" t="s">
        <v>67</v>
      </c>
      <c r="L50" s="66">
        <v>145000</v>
      </c>
      <c r="M50" s="66">
        <v>145000</v>
      </c>
      <c r="N50" s="64" t="s">
        <v>20</v>
      </c>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67">
        <v>45994</v>
      </c>
      <c r="BX50" s="2"/>
      <c r="BY50" s="64" t="s">
        <v>1801</v>
      </c>
      <c r="BZ50" s="1"/>
      <c r="CA50" s="14"/>
      <c r="CB50" s="2"/>
      <c r="CC50" s="13"/>
    </row>
    <row r="51" spans="1:81" s="9" customFormat="1" ht="111" customHeight="1" x14ac:dyDescent="0.25">
      <c r="A51" s="64" t="s">
        <v>2099</v>
      </c>
      <c r="B51" s="64" t="s">
        <v>2087</v>
      </c>
      <c r="C51" s="64" t="s">
        <v>562</v>
      </c>
      <c r="D51" s="65" t="s">
        <v>2100</v>
      </c>
      <c r="E51" s="2"/>
      <c r="F51" s="64" t="s">
        <v>2077</v>
      </c>
      <c r="G51" s="64" t="s">
        <v>2022</v>
      </c>
      <c r="H51" s="64" t="s">
        <v>66</v>
      </c>
      <c r="I51" s="64" t="s">
        <v>686</v>
      </c>
      <c r="J51" s="64" t="s">
        <v>1618</v>
      </c>
      <c r="K51" s="64" t="s">
        <v>67</v>
      </c>
      <c r="L51" s="66">
        <v>143537.35</v>
      </c>
      <c r="M51" s="66">
        <v>143537.35</v>
      </c>
      <c r="N51" s="64" t="s">
        <v>20</v>
      </c>
      <c r="O51" s="67">
        <v>45992</v>
      </c>
      <c r="P51" s="64" t="s">
        <v>1801</v>
      </c>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67">
        <v>45995</v>
      </c>
      <c r="BX51" s="2"/>
      <c r="BY51" s="64" t="s">
        <v>1799</v>
      </c>
      <c r="BZ51" s="1"/>
      <c r="CA51" s="14"/>
      <c r="CB51" s="2"/>
      <c r="CC51" s="13"/>
    </row>
    <row r="52" spans="1:81" s="9" customFormat="1" ht="85.5" customHeight="1" x14ac:dyDescent="0.25">
      <c r="A52" s="64" t="s">
        <v>2103</v>
      </c>
      <c r="B52" s="64" t="s">
        <v>2087</v>
      </c>
      <c r="C52" s="64" t="s">
        <v>350</v>
      </c>
      <c r="D52" s="65" t="s">
        <v>2104</v>
      </c>
      <c r="E52" s="2"/>
      <c r="F52" s="64" t="s">
        <v>1930</v>
      </c>
      <c r="G52" s="64" t="s">
        <v>2022</v>
      </c>
      <c r="H52" s="64" t="s">
        <v>66</v>
      </c>
      <c r="I52" s="64" t="s">
        <v>686</v>
      </c>
      <c r="J52" s="64" t="s">
        <v>1618</v>
      </c>
      <c r="K52" s="64" t="s">
        <v>67</v>
      </c>
      <c r="L52" s="66">
        <v>50000</v>
      </c>
      <c r="M52" s="66">
        <v>50000</v>
      </c>
      <c r="N52" s="64" t="s">
        <v>20</v>
      </c>
      <c r="O52" s="67"/>
      <c r="P52" s="64"/>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67">
        <v>46000</v>
      </c>
      <c r="BX52" s="2"/>
      <c r="BY52" s="64" t="s">
        <v>1800</v>
      </c>
      <c r="BZ52" s="1"/>
      <c r="CA52" s="14"/>
      <c r="CB52" s="2"/>
      <c r="CC52" s="13"/>
    </row>
    <row r="53" spans="1:81" s="9" customFormat="1" ht="87.75" customHeight="1" x14ac:dyDescent="0.25">
      <c r="A53" s="64" t="s">
        <v>2101</v>
      </c>
      <c r="B53" s="64" t="s">
        <v>2087</v>
      </c>
      <c r="C53" s="64" t="s">
        <v>274</v>
      </c>
      <c r="D53" s="65" t="s">
        <v>2102</v>
      </c>
      <c r="E53" s="2"/>
      <c r="F53" s="64" t="s">
        <v>1928</v>
      </c>
      <c r="G53" s="64" t="s">
        <v>2022</v>
      </c>
      <c r="H53" s="64" t="s">
        <v>66</v>
      </c>
      <c r="I53" s="64" t="s">
        <v>686</v>
      </c>
      <c r="J53" s="64" t="s">
        <v>1618</v>
      </c>
      <c r="K53" s="64" t="s">
        <v>67</v>
      </c>
      <c r="L53" s="66">
        <v>277150</v>
      </c>
      <c r="M53" s="66">
        <v>277150</v>
      </c>
      <c r="N53" s="64" t="s">
        <v>20</v>
      </c>
      <c r="O53" s="67"/>
      <c r="P53" s="64"/>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67">
        <v>46006</v>
      </c>
      <c r="BX53" s="2"/>
      <c r="BY53" s="64" t="s">
        <v>1798</v>
      </c>
      <c r="BZ53" s="1"/>
      <c r="CA53" s="14"/>
      <c r="CB53" s="2"/>
      <c r="CC53" s="13"/>
    </row>
    <row r="54" spans="1:81" s="9" customFormat="1" ht="123.75" customHeight="1" x14ac:dyDescent="0.25">
      <c r="A54" s="64" t="s">
        <v>1549</v>
      </c>
      <c r="B54" s="64" t="s">
        <v>1015</v>
      </c>
      <c r="C54" s="64" t="s">
        <v>331</v>
      </c>
      <c r="D54" s="65" t="s">
        <v>1939</v>
      </c>
      <c r="E54" s="2"/>
      <c r="F54" s="64" t="s">
        <v>65</v>
      </c>
      <c r="G54" s="64" t="s">
        <v>2023</v>
      </c>
      <c r="H54" s="64" t="s">
        <v>66</v>
      </c>
      <c r="I54" s="64" t="s">
        <v>5</v>
      </c>
      <c r="J54" s="64">
        <v>550</v>
      </c>
      <c r="K54" s="64" t="s">
        <v>67</v>
      </c>
      <c r="L54" s="66">
        <f>1774182.4-1427982.4</f>
        <v>346200</v>
      </c>
      <c r="M54" s="66">
        <f>1774182.4-1427982.4</f>
        <v>346200</v>
      </c>
      <c r="N54" s="64" t="s">
        <v>1017</v>
      </c>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v>745156</v>
      </c>
      <c r="BG54" s="7">
        <v>1029026.4</v>
      </c>
      <c r="BH54" s="7"/>
      <c r="BI54" s="7"/>
      <c r="BJ54" s="7"/>
      <c r="BK54" s="7"/>
      <c r="BL54" s="7"/>
      <c r="BM54" s="7"/>
      <c r="BN54" s="7"/>
      <c r="BO54" s="7"/>
      <c r="BP54" s="7"/>
      <c r="BQ54" s="7"/>
      <c r="BR54" s="7"/>
      <c r="BS54" s="7"/>
      <c r="BT54" s="7"/>
      <c r="BU54" s="7"/>
      <c r="BV54" s="7"/>
      <c r="BW54" s="67">
        <v>45717</v>
      </c>
      <c r="BX54" s="2"/>
      <c r="BY54" s="64" t="s">
        <v>1798</v>
      </c>
      <c r="BZ54" s="1"/>
      <c r="CA54" s="14"/>
      <c r="CB54" s="2"/>
      <c r="CC54" s="13"/>
    </row>
    <row r="55" spans="1:81" s="9" customFormat="1" ht="114.75" customHeight="1" x14ac:dyDescent="0.25">
      <c r="A55" s="64" t="s">
        <v>1558</v>
      </c>
      <c r="B55" s="64" t="s">
        <v>1035</v>
      </c>
      <c r="C55" s="64" t="s">
        <v>331</v>
      </c>
      <c r="D55" s="65" t="s">
        <v>1939</v>
      </c>
      <c r="E55" s="2"/>
      <c r="F55" s="64" t="s">
        <v>65</v>
      </c>
      <c r="G55" s="64" t="s">
        <v>2023</v>
      </c>
      <c r="H55" s="64" t="s">
        <v>66</v>
      </c>
      <c r="I55" s="64" t="s">
        <v>5</v>
      </c>
      <c r="J55" s="64">
        <v>550</v>
      </c>
      <c r="K55" s="64" t="s">
        <v>67</v>
      </c>
      <c r="L55" s="66">
        <f>1250000-910400</f>
        <v>339600</v>
      </c>
      <c r="M55" s="66">
        <f>1250000-910400</f>
        <v>339600</v>
      </c>
      <c r="N55" s="64" t="s">
        <v>1017</v>
      </c>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v>525000</v>
      </c>
      <c r="BG55" s="7">
        <v>725000</v>
      </c>
      <c r="BH55" s="7"/>
      <c r="BI55" s="7"/>
      <c r="BJ55" s="7"/>
      <c r="BK55" s="7"/>
      <c r="BL55" s="7"/>
      <c r="BM55" s="7"/>
      <c r="BN55" s="7"/>
      <c r="BO55" s="7"/>
      <c r="BP55" s="7"/>
      <c r="BQ55" s="7"/>
      <c r="BR55" s="7"/>
      <c r="BS55" s="7"/>
      <c r="BT55" s="7"/>
      <c r="BU55" s="7"/>
      <c r="BV55" s="7"/>
      <c r="BW55" s="67">
        <v>45717</v>
      </c>
      <c r="BX55" s="2"/>
      <c r="BY55" s="64" t="s">
        <v>1798</v>
      </c>
      <c r="BZ55" s="1"/>
      <c r="CA55" s="14"/>
      <c r="CB55" s="2"/>
      <c r="CC55" s="13"/>
    </row>
    <row r="56" spans="1:81" s="9" customFormat="1" ht="130.5" customHeight="1" x14ac:dyDescent="0.25">
      <c r="A56" s="64" t="s">
        <v>1952</v>
      </c>
      <c r="B56" s="64" t="s">
        <v>1953</v>
      </c>
      <c r="C56" s="64" t="s">
        <v>591</v>
      </c>
      <c r="D56" s="65" t="s">
        <v>1954</v>
      </c>
      <c r="E56" s="1"/>
      <c r="F56" s="64" t="s">
        <v>65</v>
      </c>
      <c r="G56" s="64" t="s">
        <v>2023</v>
      </c>
      <c r="H56" s="64" t="s">
        <v>66</v>
      </c>
      <c r="I56" s="64" t="s">
        <v>5</v>
      </c>
      <c r="J56" s="64">
        <v>100</v>
      </c>
      <c r="K56" s="82" t="s">
        <v>67</v>
      </c>
      <c r="L56" s="68">
        <v>562470.6</v>
      </c>
      <c r="M56" s="68">
        <v>562470.6</v>
      </c>
      <c r="N56" s="64" t="s">
        <v>1955</v>
      </c>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67">
        <v>45736</v>
      </c>
      <c r="BX56" s="1"/>
      <c r="BY56" s="64" t="s">
        <v>1800</v>
      </c>
      <c r="BZ56" s="1"/>
      <c r="CA56" s="14"/>
      <c r="CB56" s="2"/>
      <c r="CC56" s="13"/>
    </row>
    <row r="57" spans="1:81" s="9" customFormat="1" ht="84.75" customHeight="1" x14ac:dyDescent="0.25">
      <c r="A57" s="64" t="s">
        <v>1466</v>
      </c>
      <c r="B57" s="64" t="s">
        <v>829</v>
      </c>
      <c r="C57" s="64" t="s">
        <v>676</v>
      </c>
      <c r="D57" s="65" t="s">
        <v>1958</v>
      </c>
      <c r="E57" s="2"/>
      <c r="F57" s="64" t="s">
        <v>65</v>
      </c>
      <c r="G57" s="64" t="s">
        <v>2023</v>
      </c>
      <c r="H57" s="64" t="s">
        <v>66</v>
      </c>
      <c r="I57" s="64" t="s">
        <v>5</v>
      </c>
      <c r="J57" s="64">
        <v>7</v>
      </c>
      <c r="K57" s="64" t="s">
        <v>67</v>
      </c>
      <c r="L57" s="66">
        <f>35340+3580</f>
        <v>38920</v>
      </c>
      <c r="M57" s="66">
        <f>35340+3580</f>
        <v>38920</v>
      </c>
      <c r="N57" s="64" t="s">
        <v>16</v>
      </c>
      <c r="O57" s="7"/>
      <c r="P57" s="7"/>
      <c r="Q57" s="7"/>
      <c r="R57" s="7"/>
      <c r="S57" s="7"/>
      <c r="T57" s="7"/>
      <c r="U57" s="7"/>
      <c r="V57" s="7"/>
      <c r="W57" s="7"/>
      <c r="X57" s="7"/>
      <c r="Y57" s="7"/>
      <c r="Z57" s="7"/>
      <c r="AA57" s="7"/>
      <c r="AB57" s="7"/>
      <c r="AC57" s="7"/>
      <c r="AD57" s="7">
        <v>35340</v>
      </c>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67">
        <v>45747</v>
      </c>
      <c r="BX57" s="2"/>
      <c r="BY57" s="64" t="s">
        <v>1798</v>
      </c>
      <c r="BZ57" s="1"/>
      <c r="CA57" s="14"/>
      <c r="CB57" s="2"/>
      <c r="CC57" s="13"/>
    </row>
    <row r="58" spans="1:81" s="9" customFormat="1" ht="108" customHeight="1" x14ac:dyDescent="0.25">
      <c r="A58" s="2" t="s">
        <v>1560</v>
      </c>
      <c r="B58" s="2" t="s">
        <v>1040</v>
      </c>
      <c r="C58" s="2" t="s">
        <v>1041</v>
      </c>
      <c r="D58" s="12" t="s">
        <v>1042</v>
      </c>
      <c r="E58" s="2"/>
      <c r="F58" s="2" t="s">
        <v>72</v>
      </c>
      <c r="G58" s="2" t="s">
        <v>2023</v>
      </c>
      <c r="H58" s="2" t="s">
        <v>66</v>
      </c>
      <c r="I58" s="2" t="s">
        <v>5</v>
      </c>
      <c r="J58" s="2">
        <v>250</v>
      </c>
      <c r="K58" s="2" t="s">
        <v>67</v>
      </c>
      <c r="L58" s="22">
        <v>363680</v>
      </c>
      <c r="M58" s="22">
        <v>363680</v>
      </c>
      <c r="N58" s="2" t="s">
        <v>1043</v>
      </c>
      <c r="O58" s="7"/>
      <c r="P58" s="7"/>
      <c r="Q58" s="7"/>
      <c r="R58" s="7"/>
      <c r="S58" s="7"/>
      <c r="T58" s="7"/>
      <c r="U58" s="7"/>
      <c r="V58" s="7"/>
      <c r="W58" s="7"/>
      <c r="X58" s="7"/>
      <c r="Y58" s="7"/>
      <c r="Z58" s="7"/>
      <c r="AA58" s="7"/>
      <c r="AB58" s="7"/>
      <c r="AC58" s="7"/>
      <c r="AD58" s="7">
        <v>109104</v>
      </c>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v>72736</v>
      </c>
      <c r="BG58" s="7">
        <v>181840</v>
      </c>
      <c r="BH58" s="7"/>
      <c r="BI58" s="7"/>
      <c r="BJ58" s="7"/>
      <c r="BK58" s="7"/>
      <c r="BL58" s="7"/>
      <c r="BM58" s="7"/>
      <c r="BN58" s="7"/>
      <c r="BO58" s="7"/>
      <c r="BP58" s="7"/>
      <c r="BQ58" s="7"/>
      <c r="BR58" s="7"/>
      <c r="BS58" s="7"/>
      <c r="BT58" s="7"/>
      <c r="BU58" s="7"/>
      <c r="BV58" s="7"/>
      <c r="BW58" s="8">
        <v>45747</v>
      </c>
      <c r="BX58" s="2"/>
      <c r="BY58" s="2" t="s">
        <v>1801</v>
      </c>
      <c r="BZ58" s="1" t="s">
        <v>1697</v>
      </c>
      <c r="CA58" s="14">
        <f t="shared" ref="CA58:CA68" si="9">SUM(O58:BV58)</f>
        <v>363680</v>
      </c>
      <c r="CB58" s="2" t="str">
        <f t="shared" ref="CB58:CB68" si="10">IF(M58=CA58,"OK","CORRIGIR")</f>
        <v>OK</v>
      </c>
      <c r="CC58" s="13">
        <f t="shared" ref="CC58:CC68" si="11">M58-CA58</f>
        <v>0</v>
      </c>
    </row>
    <row r="59" spans="1:81" s="9" customFormat="1" ht="162" customHeight="1" x14ac:dyDescent="0.25">
      <c r="A59" s="64" t="s">
        <v>1948</v>
      </c>
      <c r="B59" s="64" t="s">
        <v>1949</v>
      </c>
      <c r="C59" s="64" t="s">
        <v>562</v>
      </c>
      <c r="D59" s="65" t="s">
        <v>1950</v>
      </c>
      <c r="E59" s="1"/>
      <c r="F59" s="64" t="s">
        <v>1951</v>
      </c>
      <c r="G59" s="64" t="s">
        <v>2023</v>
      </c>
      <c r="H59" s="64" t="s">
        <v>66</v>
      </c>
      <c r="I59" s="64" t="s">
        <v>5</v>
      </c>
      <c r="J59" s="64">
        <v>70</v>
      </c>
      <c r="K59" s="82" t="s">
        <v>67</v>
      </c>
      <c r="L59" s="68">
        <v>3300000</v>
      </c>
      <c r="M59" s="68">
        <v>3300000</v>
      </c>
      <c r="N59" s="64" t="s">
        <v>16</v>
      </c>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67">
        <v>45789</v>
      </c>
      <c r="BX59" s="1"/>
      <c r="BY59" s="64" t="s">
        <v>1799</v>
      </c>
      <c r="BZ59" s="1" t="s">
        <v>1698</v>
      </c>
      <c r="CA59" s="14">
        <f t="shared" si="9"/>
        <v>0</v>
      </c>
      <c r="CB59" s="2" t="str">
        <f t="shared" si="10"/>
        <v>CORRIGIR</v>
      </c>
      <c r="CC59" s="13">
        <f t="shared" si="11"/>
        <v>3300000</v>
      </c>
    </row>
    <row r="60" spans="1:81" s="9" customFormat="1" ht="54.75" customHeight="1" x14ac:dyDescent="0.25">
      <c r="A60" s="64" t="s">
        <v>2002</v>
      </c>
      <c r="B60" s="2"/>
      <c r="C60" s="64" t="s">
        <v>676</v>
      </c>
      <c r="D60" s="65" t="s">
        <v>2014</v>
      </c>
      <c r="E60" s="2"/>
      <c r="F60" s="64" t="s">
        <v>65</v>
      </c>
      <c r="G60" s="64" t="s">
        <v>2023</v>
      </c>
      <c r="H60" s="64" t="s">
        <v>66</v>
      </c>
      <c r="I60" s="64" t="s">
        <v>5</v>
      </c>
      <c r="J60" s="81">
        <v>17</v>
      </c>
      <c r="K60" s="64" t="s">
        <v>67</v>
      </c>
      <c r="L60" s="66">
        <v>59330</v>
      </c>
      <c r="M60" s="66">
        <v>59330</v>
      </c>
      <c r="N60" s="64" t="s">
        <v>16</v>
      </c>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67">
        <v>45805</v>
      </c>
      <c r="BX60" s="8"/>
      <c r="BY60" s="64" t="s">
        <v>1800</v>
      </c>
      <c r="BZ60" s="1" t="s">
        <v>1697</v>
      </c>
      <c r="CA60" s="14">
        <f t="shared" si="9"/>
        <v>0</v>
      </c>
      <c r="CB60" s="2" t="str">
        <f t="shared" si="10"/>
        <v>CORRIGIR</v>
      </c>
      <c r="CC60" s="13">
        <f t="shared" si="11"/>
        <v>59330</v>
      </c>
    </row>
    <row r="61" spans="1:81" s="9" customFormat="1" ht="56.25" customHeight="1" x14ac:dyDescent="0.25">
      <c r="A61" s="2" t="s">
        <v>1226</v>
      </c>
      <c r="B61" s="2" t="s">
        <v>1027</v>
      </c>
      <c r="C61" s="2" t="s">
        <v>274</v>
      </c>
      <c r="D61" s="12" t="s">
        <v>1028</v>
      </c>
      <c r="E61" s="2"/>
      <c r="F61" s="2" t="s">
        <v>72</v>
      </c>
      <c r="G61" s="2" t="s">
        <v>2023</v>
      </c>
      <c r="H61" s="2" t="s">
        <v>66</v>
      </c>
      <c r="I61" s="2" t="s">
        <v>5</v>
      </c>
      <c r="J61" s="2">
        <v>400</v>
      </c>
      <c r="K61" s="2" t="s">
        <v>67</v>
      </c>
      <c r="L61" s="22">
        <v>344400</v>
      </c>
      <c r="M61" s="22">
        <v>344400</v>
      </c>
      <c r="N61" s="2" t="s">
        <v>1026</v>
      </c>
      <c r="O61" s="7">
        <v>0</v>
      </c>
      <c r="P61" s="7"/>
      <c r="Q61" s="7"/>
      <c r="R61" s="7"/>
      <c r="S61" s="7"/>
      <c r="T61" s="7"/>
      <c r="U61" s="7"/>
      <c r="V61" s="7"/>
      <c r="W61" s="7"/>
      <c r="X61" s="7"/>
      <c r="Y61" s="7"/>
      <c r="Z61" s="7"/>
      <c r="AA61" s="7"/>
      <c r="AB61" s="7"/>
      <c r="AC61" s="7"/>
      <c r="AD61" s="7">
        <v>344400</v>
      </c>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8">
        <v>45806</v>
      </c>
      <c r="BX61" s="2"/>
      <c r="BY61" s="2" t="s">
        <v>1799</v>
      </c>
      <c r="BZ61" s="1" t="s">
        <v>1698</v>
      </c>
      <c r="CA61" s="14">
        <f t="shared" si="9"/>
        <v>344400</v>
      </c>
      <c r="CB61" s="2" t="str">
        <f t="shared" si="10"/>
        <v>OK</v>
      </c>
      <c r="CC61" s="13">
        <f t="shared" si="11"/>
        <v>0</v>
      </c>
    </row>
    <row r="62" spans="1:81" s="9" customFormat="1" ht="74.25" customHeight="1" x14ac:dyDescent="0.25">
      <c r="A62" s="2" t="s">
        <v>1380</v>
      </c>
      <c r="B62" s="2" t="s">
        <v>671</v>
      </c>
      <c r="C62" s="2" t="s">
        <v>350</v>
      </c>
      <c r="D62" s="12" t="s">
        <v>672</v>
      </c>
      <c r="E62" s="2"/>
      <c r="F62" s="2" t="s">
        <v>72</v>
      </c>
      <c r="G62" s="2" t="s">
        <v>2023</v>
      </c>
      <c r="H62" s="2" t="s">
        <v>66</v>
      </c>
      <c r="I62" s="2" t="s">
        <v>5</v>
      </c>
      <c r="J62" s="2">
        <v>700</v>
      </c>
      <c r="K62" s="2" t="s">
        <v>67</v>
      </c>
      <c r="L62" s="22">
        <v>200000</v>
      </c>
      <c r="M62" s="22">
        <v>200000</v>
      </c>
      <c r="N62" s="2" t="s">
        <v>16</v>
      </c>
      <c r="O62" s="7"/>
      <c r="P62" s="7"/>
      <c r="Q62" s="7"/>
      <c r="R62" s="7"/>
      <c r="S62" s="7"/>
      <c r="T62" s="7"/>
      <c r="U62" s="7"/>
      <c r="V62" s="7"/>
      <c r="W62" s="7"/>
      <c r="X62" s="7"/>
      <c r="Y62" s="7"/>
      <c r="Z62" s="7"/>
      <c r="AA62" s="7"/>
      <c r="AB62" s="7"/>
      <c r="AC62" s="7"/>
      <c r="AD62" s="7">
        <v>200000</v>
      </c>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8">
        <v>45820</v>
      </c>
      <c r="BX62" s="2"/>
      <c r="BY62" s="2" t="s">
        <v>1799</v>
      </c>
      <c r="BZ62" s="1" t="s">
        <v>1698</v>
      </c>
      <c r="CA62" s="14">
        <f t="shared" si="9"/>
        <v>200000</v>
      </c>
      <c r="CB62" s="2" t="str">
        <f t="shared" si="10"/>
        <v>OK</v>
      </c>
      <c r="CC62" s="13">
        <f t="shared" si="11"/>
        <v>0</v>
      </c>
    </row>
    <row r="63" spans="1:81" s="9" customFormat="1" ht="66.75" customHeight="1" x14ac:dyDescent="0.25">
      <c r="A63" s="2" t="s">
        <v>1551</v>
      </c>
      <c r="B63" s="2" t="s">
        <v>1022</v>
      </c>
      <c r="C63" s="2" t="s">
        <v>552</v>
      </c>
      <c r="D63" s="12" t="s">
        <v>1023</v>
      </c>
      <c r="E63" s="2"/>
      <c r="F63" s="2" t="s">
        <v>65</v>
      </c>
      <c r="G63" s="2" t="s">
        <v>2023</v>
      </c>
      <c r="H63" s="2" t="s">
        <v>66</v>
      </c>
      <c r="I63" s="2" t="s">
        <v>5</v>
      </c>
      <c r="J63" s="2">
        <v>5</v>
      </c>
      <c r="K63" s="2" t="s">
        <v>67</v>
      </c>
      <c r="L63" s="22">
        <v>24950</v>
      </c>
      <c r="M63" s="22">
        <v>24950</v>
      </c>
      <c r="N63" s="2" t="s">
        <v>16</v>
      </c>
      <c r="O63" s="7"/>
      <c r="P63" s="7"/>
      <c r="Q63" s="7"/>
      <c r="R63" s="7"/>
      <c r="S63" s="7"/>
      <c r="T63" s="7"/>
      <c r="U63" s="7"/>
      <c r="V63" s="7"/>
      <c r="W63" s="7"/>
      <c r="X63" s="7"/>
      <c r="Y63" s="7"/>
      <c r="Z63" s="7"/>
      <c r="AA63" s="7"/>
      <c r="AB63" s="7"/>
      <c r="AC63" s="7"/>
      <c r="AD63" s="7">
        <v>24950</v>
      </c>
      <c r="AE63" s="7">
        <v>0</v>
      </c>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8">
        <v>45825</v>
      </c>
      <c r="BX63" s="2"/>
      <c r="BY63" s="2" t="s">
        <v>1798</v>
      </c>
      <c r="BZ63" s="1" t="s">
        <v>1697</v>
      </c>
      <c r="CA63" s="14">
        <f t="shared" si="9"/>
        <v>24950</v>
      </c>
      <c r="CB63" s="2" t="str">
        <f t="shared" si="10"/>
        <v>OK</v>
      </c>
      <c r="CC63" s="13">
        <f t="shared" si="11"/>
        <v>0</v>
      </c>
    </row>
    <row r="64" spans="1:81" s="9" customFormat="1" ht="68.25" customHeight="1" x14ac:dyDescent="0.25">
      <c r="A64" s="64" t="s">
        <v>1465</v>
      </c>
      <c r="B64" s="64" t="s">
        <v>827</v>
      </c>
      <c r="C64" s="64" t="s">
        <v>676</v>
      </c>
      <c r="D64" s="65" t="s">
        <v>828</v>
      </c>
      <c r="E64" s="2"/>
      <c r="F64" s="64" t="s">
        <v>65</v>
      </c>
      <c r="G64" s="64" t="s">
        <v>2023</v>
      </c>
      <c r="H64" s="64" t="s">
        <v>66</v>
      </c>
      <c r="I64" s="64" t="s">
        <v>5</v>
      </c>
      <c r="J64" s="64">
        <v>14</v>
      </c>
      <c r="K64" s="64" t="s">
        <v>67</v>
      </c>
      <c r="L64" s="66">
        <f>82460-7603</f>
        <v>74857</v>
      </c>
      <c r="M64" s="66">
        <f>82460-7603</f>
        <v>74857</v>
      </c>
      <c r="N64" s="64" t="s">
        <v>16</v>
      </c>
      <c r="O64" s="7"/>
      <c r="P64" s="7"/>
      <c r="Q64" s="7"/>
      <c r="R64" s="7"/>
      <c r="S64" s="7"/>
      <c r="T64" s="7"/>
      <c r="U64" s="7"/>
      <c r="V64" s="7"/>
      <c r="W64" s="7"/>
      <c r="X64" s="7"/>
      <c r="Y64" s="7"/>
      <c r="Z64" s="7"/>
      <c r="AA64" s="7"/>
      <c r="AB64" s="7"/>
      <c r="AC64" s="7"/>
      <c r="AD64" s="7">
        <v>82460</v>
      </c>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67">
        <v>45838</v>
      </c>
      <c r="BX64" s="2"/>
      <c r="BY64" s="64" t="s">
        <v>1800</v>
      </c>
      <c r="BZ64" s="1" t="s">
        <v>1698</v>
      </c>
      <c r="CA64" s="14">
        <f t="shared" si="9"/>
        <v>82460</v>
      </c>
      <c r="CB64" s="2" t="str">
        <f t="shared" si="10"/>
        <v>CORRIGIR</v>
      </c>
      <c r="CC64" s="13">
        <f t="shared" si="11"/>
        <v>-7603</v>
      </c>
    </row>
    <row r="65" spans="1:81" s="9" customFormat="1" ht="108" customHeight="1" x14ac:dyDescent="0.25">
      <c r="A65" s="64" t="s">
        <v>1986</v>
      </c>
      <c r="B65" s="64" t="s">
        <v>1987</v>
      </c>
      <c r="C65" s="64" t="s">
        <v>681</v>
      </c>
      <c r="D65" s="65" t="s">
        <v>1988</v>
      </c>
      <c r="E65" s="2"/>
      <c r="F65" s="64" t="s">
        <v>65</v>
      </c>
      <c r="G65" s="64" t="s">
        <v>2023</v>
      </c>
      <c r="H65" s="64" t="s">
        <v>66</v>
      </c>
      <c r="I65" s="64" t="s">
        <v>5</v>
      </c>
      <c r="J65" s="64">
        <v>10</v>
      </c>
      <c r="K65" s="64" t="s">
        <v>67</v>
      </c>
      <c r="L65" s="66">
        <v>40400</v>
      </c>
      <c r="M65" s="66">
        <v>40400</v>
      </c>
      <c r="N65" s="64" t="s">
        <v>16</v>
      </c>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67">
        <v>45847</v>
      </c>
      <c r="BX65" s="2"/>
      <c r="BY65" s="64" t="s">
        <v>1800</v>
      </c>
      <c r="BZ65" s="1" t="s">
        <v>1697</v>
      </c>
      <c r="CA65" s="14">
        <f t="shared" si="9"/>
        <v>0</v>
      </c>
      <c r="CB65" s="2" t="str">
        <f t="shared" si="10"/>
        <v>CORRIGIR</v>
      </c>
      <c r="CC65" s="13">
        <f t="shared" si="11"/>
        <v>40400</v>
      </c>
    </row>
    <row r="66" spans="1:81" s="9" customFormat="1" ht="73.5" customHeight="1" x14ac:dyDescent="0.25">
      <c r="A66" s="2" t="s">
        <v>1381</v>
      </c>
      <c r="B66" s="2" t="s">
        <v>673</v>
      </c>
      <c r="C66" s="2" t="s">
        <v>350</v>
      </c>
      <c r="D66" s="12" t="s">
        <v>674</v>
      </c>
      <c r="E66" s="2"/>
      <c r="F66" s="2" t="s">
        <v>65</v>
      </c>
      <c r="G66" s="2" t="s">
        <v>2023</v>
      </c>
      <c r="H66" s="2" t="s">
        <v>66</v>
      </c>
      <c r="I66" s="2" t="s">
        <v>319</v>
      </c>
      <c r="J66" s="2">
        <v>1</v>
      </c>
      <c r="K66" s="2" t="s">
        <v>67</v>
      </c>
      <c r="L66" s="22">
        <v>20000</v>
      </c>
      <c r="M66" s="22">
        <v>20000</v>
      </c>
      <c r="N66" s="2" t="s">
        <v>16</v>
      </c>
      <c r="O66" s="7"/>
      <c r="P66" s="7"/>
      <c r="Q66" s="7"/>
      <c r="R66" s="7"/>
      <c r="S66" s="7"/>
      <c r="T66" s="7"/>
      <c r="U66" s="7"/>
      <c r="V66" s="7"/>
      <c r="W66" s="7"/>
      <c r="X66" s="7"/>
      <c r="Y66" s="7"/>
      <c r="Z66" s="7"/>
      <c r="AA66" s="7"/>
      <c r="AB66" s="7"/>
      <c r="AC66" s="7"/>
      <c r="AD66" s="7">
        <v>20000</v>
      </c>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8">
        <v>45861</v>
      </c>
      <c r="BX66" s="2"/>
      <c r="BY66" s="2" t="s">
        <v>1800</v>
      </c>
      <c r="BZ66" s="1" t="s">
        <v>1697</v>
      </c>
      <c r="CA66" s="14">
        <f t="shared" si="9"/>
        <v>20000</v>
      </c>
      <c r="CB66" s="2" t="str">
        <f t="shared" si="10"/>
        <v>OK</v>
      </c>
      <c r="CC66" s="13">
        <f t="shared" si="11"/>
        <v>0</v>
      </c>
    </row>
    <row r="67" spans="1:81" s="9" customFormat="1" ht="105" customHeight="1" x14ac:dyDescent="0.25">
      <c r="A67" s="64" t="s">
        <v>2003</v>
      </c>
      <c r="B67" s="2" t="s">
        <v>2061</v>
      </c>
      <c r="C67" s="64" t="s">
        <v>2004</v>
      </c>
      <c r="D67" s="65" t="s">
        <v>2005</v>
      </c>
      <c r="E67" s="2"/>
      <c r="F67" s="64" t="s">
        <v>65</v>
      </c>
      <c r="G67" s="64" t="s">
        <v>2023</v>
      </c>
      <c r="H67" s="64" t="s">
        <v>66</v>
      </c>
      <c r="I67" s="64" t="s">
        <v>5</v>
      </c>
      <c r="J67" s="81">
        <v>350</v>
      </c>
      <c r="K67" s="64" t="s">
        <v>67</v>
      </c>
      <c r="L67" s="66">
        <v>140000</v>
      </c>
      <c r="M67" s="66">
        <v>140000</v>
      </c>
      <c r="N67" s="64" t="s">
        <v>16</v>
      </c>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67">
        <v>45861</v>
      </c>
      <c r="BX67" s="8"/>
      <c r="BY67" s="64" t="s">
        <v>1798</v>
      </c>
      <c r="BZ67" s="1" t="s">
        <v>1697</v>
      </c>
      <c r="CA67" s="14">
        <f t="shared" si="9"/>
        <v>0</v>
      </c>
      <c r="CB67" s="2" t="str">
        <f t="shared" si="10"/>
        <v>CORRIGIR</v>
      </c>
      <c r="CC67" s="13">
        <f t="shared" si="11"/>
        <v>140000</v>
      </c>
    </row>
    <row r="68" spans="1:81" s="9" customFormat="1" ht="78" customHeight="1" x14ac:dyDescent="0.25">
      <c r="A68" s="2" t="s">
        <v>1464</v>
      </c>
      <c r="B68" s="2" t="s">
        <v>825</v>
      </c>
      <c r="C68" s="2" t="s">
        <v>676</v>
      </c>
      <c r="D68" s="12" t="s">
        <v>826</v>
      </c>
      <c r="E68" s="2"/>
      <c r="F68" s="2" t="s">
        <v>65</v>
      </c>
      <c r="G68" s="2" t="s">
        <v>2023</v>
      </c>
      <c r="H68" s="2" t="s">
        <v>66</v>
      </c>
      <c r="I68" s="2" t="s">
        <v>5</v>
      </c>
      <c r="J68" s="2">
        <v>5</v>
      </c>
      <c r="K68" s="2" t="s">
        <v>67</v>
      </c>
      <c r="L68" s="22">
        <v>18735</v>
      </c>
      <c r="M68" s="22">
        <v>18735</v>
      </c>
      <c r="N68" s="2" t="s">
        <v>16</v>
      </c>
      <c r="O68" s="7"/>
      <c r="P68" s="7"/>
      <c r="Q68" s="7"/>
      <c r="R68" s="7"/>
      <c r="S68" s="7"/>
      <c r="T68" s="7"/>
      <c r="U68" s="7"/>
      <c r="V68" s="7"/>
      <c r="W68" s="7"/>
      <c r="X68" s="7"/>
      <c r="Y68" s="7"/>
      <c r="Z68" s="7"/>
      <c r="AA68" s="7"/>
      <c r="AB68" s="7"/>
      <c r="AC68" s="7"/>
      <c r="AD68" s="7">
        <v>18735</v>
      </c>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8">
        <v>45884</v>
      </c>
      <c r="BX68" s="2"/>
      <c r="BY68" s="2" t="s">
        <v>1800</v>
      </c>
      <c r="BZ68" s="1" t="s">
        <v>1698</v>
      </c>
      <c r="CA68" s="14">
        <f t="shared" si="9"/>
        <v>18735</v>
      </c>
      <c r="CB68" s="2" t="str">
        <f t="shared" si="10"/>
        <v>OK</v>
      </c>
      <c r="CC68" s="13">
        <f t="shared" si="11"/>
        <v>0</v>
      </c>
    </row>
    <row r="69" spans="1:81" s="9" customFormat="1" ht="113.25" customHeight="1" x14ac:dyDescent="0.25">
      <c r="A69" s="83" t="s">
        <v>2046</v>
      </c>
      <c r="B69" s="2" t="s">
        <v>2060</v>
      </c>
      <c r="C69" s="83" t="s">
        <v>676</v>
      </c>
      <c r="D69" s="99" t="s">
        <v>2047</v>
      </c>
      <c r="E69" s="2"/>
      <c r="F69" s="83" t="s">
        <v>65</v>
      </c>
      <c r="G69" s="83" t="s">
        <v>2023</v>
      </c>
      <c r="H69" s="83" t="s">
        <v>66</v>
      </c>
      <c r="I69" s="83" t="s">
        <v>5</v>
      </c>
      <c r="J69" s="83"/>
      <c r="K69" s="83" t="s">
        <v>67</v>
      </c>
      <c r="L69" s="93">
        <v>6600</v>
      </c>
      <c r="M69" s="93">
        <v>6600</v>
      </c>
      <c r="N69" s="83" t="s">
        <v>16</v>
      </c>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91">
        <v>45895</v>
      </c>
      <c r="BX69" s="2"/>
      <c r="BY69" s="83" t="s">
        <v>1798</v>
      </c>
      <c r="BZ69" s="1"/>
      <c r="CA69" s="14"/>
      <c r="CB69" s="2"/>
      <c r="CC69" s="13"/>
    </row>
    <row r="70" spans="1:81" s="9" customFormat="1" ht="114" customHeight="1" x14ac:dyDescent="0.25">
      <c r="A70" s="64" t="s">
        <v>1561</v>
      </c>
      <c r="B70" s="2" t="s">
        <v>1044</v>
      </c>
      <c r="C70" s="64" t="s">
        <v>74</v>
      </c>
      <c r="D70" s="65" t="s">
        <v>2054</v>
      </c>
      <c r="E70" s="2"/>
      <c r="F70" s="64" t="s">
        <v>72</v>
      </c>
      <c r="G70" s="64" t="s">
        <v>2023</v>
      </c>
      <c r="H70" s="64" t="s">
        <v>66</v>
      </c>
      <c r="I70" s="64" t="s">
        <v>5</v>
      </c>
      <c r="J70" s="64">
        <v>400</v>
      </c>
      <c r="K70" s="64" t="s">
        <v>67</v>
      </c>
      <c r="L70" s="66">
        <f>100000-42003.53</f>
        <v>57996.47</v>
      </c>
      <c r="M70" s="66">
        <f>100000-42003.53</f>
        <v>57996.47</v>
      </c>
      <c r="N70" s="64" t="s">
        <v>2049</v>
      </c>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v>100000</v>
      </c>
      <c r="BT70" s="7"/>
      <c r="BU70" s="7"/>
      <c r="BV70" s="7"/>
      <c r="BW70" s="67">
        <v>45900</v>
      </c>
      <c r="BX70" s="2"/>
      <c r="BY70" s="64" t="s">
        <v>1799</v>
      </c>
      <c r="BZ70" s="1" t="s">
        <v>1697</v>
      </c>
      <c r="CA70" s="14">
        <f>SUM(O70:BV70)</f>
        <v>100000</v>
      </c>
      <c r="CB70" s="2" t="str">
        <f>IF(M70=CA70,"OK","CORRIGIR")</f>
        <v>CORRIGIR</v>
      </c>
      <c r="CC70" s="13">
        <f>M70-CA70</f>
        <v>-42003.53</v>
      </c>
    </row>
    <row r="71" spans="1:81" s="9" customFormat="1" ht="14.25" hidden="1" customHeight="1" x14ac:dyDescent="0.25">
      <c r="A71" s="87" t="s">
        <v>1467</v>
      </c>
      <c r="B71" s="2" t="s">
        <v>831</v>
      </c>
      <c r="C71" s="87" t="s">
        <v>676</v>
      </c>
      <c r="D71" s="88" t="s">
        <v>832</v>
      </c>
      <c r="E71" s="2"/>
      <c r="F71" s="87" t="s">
        <v>2044</v>
      </c>
      <c r="G71" s="87" t="s">
        <v>2023</v>
      </c>
      <c r="H71" s="87" t="s">
        <v>2045</v>
      </c>
      <c r="I71" s="87" t="s">
        <v>5</v>
      </c>
      <c r="J71" s="87">
        <v>6</v>
      </c>
      <c r="K71" s="87" t="s">
        <v>67</v>
      </c>
      <c r="L71" s="89">
        <f>76570-76570</f>
        <v>0</v>
      </c>
      <c r="M71" s="89">
        <f>76570-76570</f>
        <v>0</v>
      </c>
      <c r="N71" s="87" t="s">
        <v>16</v>
      </c>
      <c r="O71" s="7"/>
      <c r="P71" s="7"/>
      <c r="Q71" s="7"/>
      <c r="R71" s="7"/>
      <c r="S71" s="7"/>
      <c r="T71" s="7"/>
      <c r="U71" s="7"/>
      <c r="V71" s="7"/>
      <c r="W71" s="7"/>
      <c r="X71" s="7"/>
      <c r="Y71" s="7"/>
      <c r="Z71" s="7"/>
      <c r="AA71" s="7"/>
      <c r="AB71" s="7"/>
      <c r="AC71" s="7"/>
      <c r="AD71" s="7">
        <v>76570</v>
      </c>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90">
        <v>45900</v>
      </c>
      <c r="BX71" s="2"/>
      <c r="BY71" s="87" t="s">
        <v>1800</v>
      </c>
      <c r="BZ71" s="1" t="s">
        <v>1698</v>
      </c>
      <c r="CA71" s="14">
        <f>SUM(O71:BV71)</f>
        <v>76570</v>
      </c>
      <c r="CB71" s="2" t="str">
        <f>IF(M71=CA71,"OK","CORRIGIR")</f>
        <v>CORRIGIR</v>
      </c>
      <c r="CC71" s="13">
        <f>M71-CA71</f>
        <v>-76570</v>
      </c>
    </row>
    <row r="72" spans="1:81" s="9" customFormat="1" ht="94.5" customHeight="1" x14ac:dyDescent="0.25">
      <c r="A72" s="2" t="s">
        <v>1552</v>
      </c>
      <c r="B72" s="2" t="s">
        <v>1020</v>
      </c>
      <c r="C72" s="2" t="s">
        <v>552</v>
      </c>
      <c r="D72" s="12" t="s">
        <v>1021</v>
      </c>
      <c r="E72" s="2"/>
      <c r="F72" s="2" t="s">
        <v>65</v>
      </c>
      <c r="G72" s="2" t="s">
        <v>2023</v>
      </c>
      <c r="H72" s="2" t="s">
        <v>66</v>
      </c>
      <c r="I72" s="2" t="s">
        <v>5</v>
      </c>
      <c r="J72" s="2">
        <v>1</v>
      </c>
      <c r="K72" s="2" t="s">
        <v>67</v>
      </c>
      <c r="L72" s="22">
        <v>3190</v>
      </c>
      <c r="M72" s="22">
        <v>3190</v>
      </c>
      <c r="N72" s="2" t="s">
        <v>16</v>
      </c>
      <c r="O72" s="7"/>
      <c r="P72" s="7"/>
      <c r="Q72" s="7"/>
      <c r="R72" s="7"/>
      <c r="S72" s="7"/>
      <c r="T72" s="7"/>
      <c r="U72" s="7"/>
      <c r="V72" s="7"/>
      <c r="W72" s="7"/>
      <c r="X72" s="7"/>
      <c r="Y72" s="7"/>
      <c r="Z72" s="7"/>
      <c r="AA72" s="7"/>
      <c r="AB72" s="7"/>
      <c r="AC72" s="7"/>
      <c r="AD72" s="7">
        <v>3190</v>
      </c>
      <c r="AE72" s="7">
        <v>0</v>
      </c>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8">
        <v>45916</v>
      </c>
      <c r="BX72" s="2"/>
      <c r="BY72" s="2" t="s">
        <v>1800</v>
      </c>
      <c r="BZ72" s="1"/>
      <c r="CA72" s="14"/>
      <c r="CB72" s="2"/>
      <c r="CC72" s="13"/>
    </row>
    <row r="73" spans="1:81" s="9" customFormat="1" ht="115.5" customHeight="1" x14ac:dyDescent="0.25">
      <c r="A73" s="64" t="s">
        <v>2055</v>
      </c>
      <c r="B73" s="2" t="s">
        <v>2059</v>
      </c>
      <c r="C73" s="64" t="s">
        <v>2056</v>
      </c>
      <c r="D73" s="65" t="s">
        <v>2057</v>
      </c>
      <c r="E73" s="2"/>
      <c r="F73" s="64" t="s">
        <v>72</v>
      </c>
      <c r="G73" s="64" t="s">
        <v>2023</v>
      </c>
      <c r="H73" s="64" t="s">
        <v>66</v>
      </c>
      <c r="I73" s="64" t="s">
        <v>1618</v>
      </c>
      <c r="J73" s="64" t="s">
        <v>1614</v>
      </c>
      <c r="K73" s="64" t="s">
        <v>67</v>
      </c>
      <c r="L73" s="66">
        <f>20481.36+20481.37+20481.36</f>
        <v>61444.09</v>
      </c>
      <c r="M73" s="66">
        <f>20481.36+20481.37+20481.36</f>
        <v>61444.09</v>
      </c>
      <c r="N73" s="64" t="s">
        <v>2058</v>
      </c>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67">
        <v>45916</v>
      </c>
      <c r="BX73" s="2"/>
      <c r="BY73" s="83" t="s">
        <v>1801</v>
      </c>
      <c r="BZ73" s="1" t="s">
        <v>1697</v>
      </c>
      <c r="CA73" s="14">
        <f>SUM(O73:BV73)</f>
        <v>0</v>
      </c>
      <c r="CB73" s="2" t="str">
        <f>IF(M73=CA73,"OK","CORRIGIR")</f>
        <v>CORRIGIR</v>
      </c>
      <c r="CC73" s="13">
        <f>M73-CA73</f>
        <v>61444.09</v>
      </c>
    </row>
    <row r="74" spans="1:81" s="9" customFormat="1" ht="159.75" customHeight="1" x14ac:dyDescent="0.25">
      <c r="A74" s="64" t="s">
        <v>1556</v>
      </c>
      <c r="B74" s="2" t="s">
        <v>1031</v>
      </c>
      <c r="C74" s="64" t="s">
        <v>74</v>
      </c>
      <c r="D74" s="65" t="s">
        <v>2053</v>
      </c>
      <c r="E74" s="2"/>
      <c r="F74" s="64" t="s">
        <v>72</v>
      </c>
      <c r="G74" s="64" t="s">
        <v>2023</v>
      </c>
      <c r="H74" s="64" t="s">
        <v>66</v>
      </c>
      <c r="I74" s="64" t="s">
        <v>5</v>
      </c>
      <c r="J74" s="64">
        <v>1</v>
      </c>
      <c r="K74" s="64" t="s">
        <v>67</v>
      </c>
      <c r="L74" s="66">
        <f>2000000-1771985.63</f>
        <v>228014.37000000011</v>
      </c>
      <c r="M74" s="66">
        <f>2000000-1771985.63</f>
        <v>228014.37000000011</v>
      </c>
      <c r="N74" s="64" t="s">
        <v>2049</v>
      </c>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v>2000000</v>
      </c>
      <c r="BT74" s="7"/>
      <c r="BU74" s="7"/>
      <c r="BV74" s="7"/>
      <c r="BW74" s="67">
        <v>45918</v>
      </c>
      <c r="BX74" s="2"/>
      <c r="BY74" s="64" t="s">
        <v>1799</v>
      </c>
      <c r="BZ74" s="1"/>
      <c r="CA74" s="14"/>
      <c r="CB74" s="2"/>
      <c r="CC74" s="13"/>
    </row>
    <row r="75" spans="1:81" s="9" customFormat="1" ht="92.25" customHeight="1" x14ac:dyDescent="0.25">
      <c r="A75" s="64" t="s">
        <v>2050</v>
      </c>
      <c r="B75" s="2" t="s">
        <v>2051</v>
      </c>
      <c r="C75" s="64" t="s">
        <v>74</v>
      </c>
      <c r="D75" s="65" t="s">
        <v>2052</v>
      </c>
      <c r="E75" s="2"/>
      <c r="F75" s="64" t="s">
        <v>65</v>
      </c>
      <c r="G75" s="64" t="s">
        <v>2023</v>
      </c>
      <c r="H75" s="64" t="s">
        <v>66</v>
      </c>
      <c r="I75" s="64" t="s">
        <v>5</v>
      </c>
      <c r="J75" s="64">
        <v>1</v>
      </c>
      <c r="K75" s="64" t="s">
        <v>67</v>
      </c>
      <c r="L75" s="66">
        <f>2000000-1004580</f>
        <v>995420</v>
      </c>
      <c r="M75" s="66">
        <f>2000000-1004580</f>
        <v>995420</v>
      </c>
      <c r="N75" s="64" t="s">
        <v>2049</v>
      </c>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v>2000000</v>
      </c>
      <c r="BT75" s="7"/>
      <c r="BU75" s="7"/>
      <c r="BV75" s="7"/>
      <c r="BW75" s="67">
        <v>45918</v>
      </c>
      <c r="BX75" s="2"/>
      <c r="BY75" s="64" t="s">
        <v>1798</v>
      </c>
      <c r="BZ75" s="1" t="s">
        <v>1697</v>
      </c>
      <c r="CA75" s="14">
        <f>SUM(O75:BV75)</f>
        <v>2000000</v>
      </c>
      <c r="CB75" s="2" t="str">
        <f>IF(M75=CA75,"OK","CORRIGIR")</f>
        <v>CORRIGIR</v>
      </c>
      <c r="CC75" s="13">
        <f>M75-CA75</f>
        <v>-1004580</v>
      </c>
    </row>
    <row r="76" spans="1:81" s="9" customFormat="1" ht="69.75" customHeight="1" x14ac:dyDescent="0.25">
      <c r="A76" s="2" t="s">
        <v>1562</v>
      </c>
      <c r="B76" s="2" t="s">
        <v>1046</v>
      </c>
      <c r="C76" s="2" t="s">
        <v>337</v>
      </c>
      <c r="D76" s="12" t="s">
        <v>1682</v>
      </c>
      <c r="E76" s="2"/>
      <c r="F76" s="2" t="s">
        <v>72</v>
      </c>
      <c r="G76" s="2" t="s">
        <v>2023</v>
      </c>
      <c r="H76" s="2" t="s">
        <v>66</v>
      </c>
      <c r="I76" s="2" t="s">
        <v>5</v>
      </c>
      <c r="J76" s="2" t="s">
        <v>1618</v>
      </c>
      <c r="K76" s="2" t="s">
        <v>67</v>
      </c>
      <c r="L76" s="22">
        <v>196442.52</v>
      </c>
      <c r="M76" s="22">
        <v>196442.52</v>
      </c>
      <c r="N76" s="2" t="s">
        <v>16</v>
      </c>
      <c r="O76" s="7"/>
      <c r="P76" s="7"/>
      <c r="Q76" s="7"/>
      <c r="R76" s="7"/>
      <c r="S76" s="7"/>
      <c r="T76" s="7"/>
      <c r="U76" s="7"/>
      <c r="V76" s="7"/>
      <c r="W76" s="7"/>
      <c r="X76" s="7"/>
      <c r="Y76" s="7"/>
      <c r="Z76" s="7"/>
      <c r="AA76" s="7"/>
      <c r="AB76" s="7"/>
      <c r="AC76" s="7"/>
      <c r="AD76" s="7">
        <v>196442.52</v>
      </c>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8">
        <v>45924</v>
      </c>
      <c r="BX76" s="2"/>
      <c r="BY76" s="2" t="s">
        <v>1799</v>
      </c>
      <c r="BZ76" s="1" t="s">
        <v>1697</v>
      </c>
      <c r="CA76" s="14">
        <f>SUM(O76:BV76)</f>
        <v>196442.52</v>
      </c>
      <c r="CB76" s="2" t="str">
        <f>IF(M76=CA76,"OK","CORRIGIR")</f>
        <v>OK</v>
      </c>
      <c r="CC76" s="13">
        <f>M76-CA76</f>
        <v>0</v>
      </c>
    </row>
    <row r="77" spans="1:81" s="9" customFormat="1" ht="141" customHeight="1" x14ac:dyDescent="0.25">
      <c r="A77" s="64" t="s">
        <v>2116</v>
      </c>
      <c r="B77" s="64" t="s">
        <v>2117</v>
      </c>
      <c r="C77" s="64" t="s">
        <v>379</v>
      </c>
      <c r="D77" s="65" t="s">
        <v>2118</v>
      </c>
      <c r="E77" s="2"/>
      <c r="F77" s="64" t="s">
        <v>65</v>
      </c>
      <c r="G77" s="64" t="s">
        <v>2023</v>
      </c>
      <c r="H77" s="64" t="s">
        <v>66</v>
      </c>
      <c r="I77" s="64" t="s">
        <v>5</v>
      </c>
      <c r="J77" s="64">
        <v>4</v>
      </c>
      <c r="K77" s="64" t="s">
        <v>67</v>
      </c>
      <c r="L77" s="66">
        <v>15560</v>
      </c>
      <c r="M77" s="66">
        <v>15560</v>
      </c>
      <c r="N77" s="64" t="s">
        <v>16</v>
      </c>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67">
        <v>45946</v>
      </c>
      <c r="BX77" s="2"/>
      <c r="BY77" s="83" t="s">
        <v>1798</v>
      </c>
      <c r="BZ77" s="1"/>
      <c r="CA77" s="14"/>
      <c r="CB77" s="2"/>
      <c r="CC77" s="13"/>
    </row>
    <row r="78" spans="1:81" s="9" customFormat="1" ht="85.5" customHeight="1" x14ac:dyDescent="0.25">
      <c r="A78" s="2" t="s">
        <v>1231</v>
      </c>
      <c r="B78" s="2" t="s">
        <v>1024</v>
      </c>
      <c r="C78" s="2" t="s">
        <v>274</v>
      </c>
      <c r="D78" s="12" t="s">
        <v>1025</v>
      </c>
      <c r="E78" s="2"/>
      <c r="F78" s="2" t="s">
        <v>72</v>
      </c>
      <c r="G78" s="2" t="s">
        <v>2023</v>
      </c>
      <c r="H78" s="2" t="s">
        <v>66</v>
      </c>
      <c r="I78" s="2" t="s">
        <v>5</v>
      </c>
      <c r="J78" s="2">
        <v>400</v>
      </c>
      <c r="K78" s="2" t="s">
        <v>67</v>
      </c>
      <c r="L78" s="22">
        <v>232200</v>
      </c>
      <c r="M78" s="22">
        <v>232200</v>
      </c>
      <c r="N78" s="2" t="s">
        <v>1026</v>
      </c>
      <c r="O78" s="7">
        <v>0</v>
      </c>
      <c r="P78" s="7"/>
      <c r="Q78" s="7"/>
      <c r="R78" s="7"/>
      <c r="S78" s="7"/>
      <c r="T78" s="7"/>
      <c r="U78" s="7"/>
      <c r="V78" s="7"/>
      <c r="W78" s="7"/>
      <c r="X78" s="7"/>
      <c r="Y78" s="7"/>
      <c r="Z78" s="7"/>
      <c r="AA78" s="7"/>
      <c r="AB78" s="7"/>
      <c r="AC78" s="7"/>
      <c r="AD78" s="7">
        <v>232200</v>
      </c>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8">
        <v>45960</v>
      </c>
      <c r="BX78" s="2"/>
      <c r="BY78" s="2" t="s">
        <v>1801</v>
      </c>
      <c r="BZ78" s="1" t="s">
        <v>1698</v>
      </c>
      <c r="CA78" s="14">
        <f t="shared" ref="CA78:CA96" si="12">SUM(O78:BV78)</f>
        <v>232200</v>
      </c>
      <c r="CB78" s="2" t="str">
        <f t="shared" ref="CB78:CB96" si="13">IF(M78=CA78,"OK","CORRIGIR")</f>
        <v>OK</v>
      </c>
      <c r="CC78" s="13">
        <f t="shared" ref="CC78:CC96" si="14">M78-CA78</f>
        <v>0</v>
      </c>
    </row>
    <row r="79" spans="1:81" s="9" customFormat="1" ht="101.25" customHeight="1" x14ac:dyDescent="0.25">
      <c r="A79" s="2" t="s">
        <v>1463</v>
      </c>
      <c r="B79" s="2" t="s">
        <v>823</v>
      </c>
      <c r="C79" s="2" t="s">
        <v>676</v>
      </c>
      <c r="D79" s="12" t="s">
        <v>824</v>
      </c>
      <c r="E79" s="2"/>
      <c r="F79" s="2" t="s">
        <v>65</v>
      </c>
      <c r="G79" s="2" t="s">
        <v>2023</v>
      </c>
      <c r="H79" s="2" t="s">
        <v>66</v>
      </c>
      <c r="I79" s="2" t="s">
        <v>5</v>
      </c>
      <c r="J79" s="2">
        <v>6</v>
      </c>
      <c r="K79" s="2" t="s">
        <v>67</v>
      </c>
      <c r="L79" s="22">
        <v>15960</v>
      </c>
      <c r="M79" s="22">
        <v>15960</v>
      </c>
      <c r="N79" s="2" t="s">
        <v>16</v>
      </c>
      <c r="O79" s="7"/>
      <c r="P79" s="7"/>
      <c r="Q79" s="7"/>
      <c r="R79" s="7"/>
      <c r="S79" s="7"/>
      <c r="T79" s="7"/>
      <c r="U79" s="7"/>
      <c r="V79" s="7"/>
      <c r="W79" s="7"/>
      <c r="X79" s="7"/>
      <c r="Y79" s="7"/>
      <c r="Z79" s="7"/>
      <c r="AA79" s="7"/>
      <c r="AB79" s="7"/>
      <c r="AC79" s="7"/>
      <c r="AD79" s="7">
        <v>15960</v>
      </c>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8">
        <v>45960</v>
      </c>
      <c r="BX79" s="2"/>
      <c r="BY79" s="2" t="s">
        <v>1800</v>
      </c>
      <c r="BZ79" s="1" t="s">
        <v>1697</v>
      </c>
      <c r="CA79" s="14">
        <f t="shared" si="12"/>
        <v>15960</v>
      </c>
      <c r="CB79" s="2" t="str">
        <f t="shared" si="13"/>
        <v>OK</v>
      </c>
      <c r="CC79" s="13">
        <f t="shared" si="14"/>
        <v>0</v>
      </c>
    </row>
    <row r="80" spans="1:81" s="9" customFormat="1" ht="96.75" customHeight="1" x14ac:dyDescent="0.25">
      <c r="A80" s="2" t="s">
        <v>1461</v>
      </c>
      <c r="B80" s="2" t="s">
        <v>819</v>
      </c>
      <c r="C80" s="2" t="s">
        <v>676</v>
      </c>
      <c r="D80" s="12" t="s">
        <v>820</v>
      </c>
      <c r="E80" s="2"/>
      <c r="F80" s="2" t="s">
        <v>65</v>
      </c>
      <c r="G80" s="2" t="s">
        <v>2023</v>
      </c>
      <c r="H80" s="2" t="s">
        <v>66</v>
      </c>
      <c r="I80" s="2" t="s">
        <v>5</v>
      </c>
      <c r="J80" s="2">
        <v>14</v>
      </c>
      <c r="K80" s="2" t="s">
        <v>67</v>
      </c>
      <c r="L80" s="22">
        <v>35340</v>
      </c>
      <c r="M80" s="22">
        <v>35340</v>
      </c>
      <c r="N80" s="2" t="s">
        <v>16</v>
      </c>
      <c r="O80" s="7"/>
      <c r="P80" s="7"/>
      <c r="Q80" s="7"/>
      <c r="R80" s="7"/>
      <c r="S80" s="7"/>
      <c r="T80" s="7"/>
      <c r="U80" s="7"/>
      <c r="V80" s="7"/>
      <c r="W80" s="7"/>
      <c r="X80" s="7"/>
      <c r="Y80" s="7"/>
      <c r="Z80" s="7"/>
      <c r="AA80" s="7"/>
      <c r="AB80" s="7"/>
      <c r="AC80" s="7"/>
      <c r="AD80" s="7">
        <v>35340</v>
      </c>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8">
        <v>45961</v>
      </c>
      <c r="BX80" s="2"/>
      <c r="BY80" s="2" t="s">
        <v>1798</v>
      </c>
      <c r="BZ80" s="1" t="s">
        <v>1698</v>
      </c>
      <c r="CA80" s="14">
        <f t="shared" si="12"/>
        <v>35340</v>
      </c>
      <c r="CB80" s="2" t="str">
        <f t="shared" si="13"/>
        <v>OK</v>
      </c>
      <c r="CC80" s="13">
        <f t="shared" si="14"/>
        <v>0</v>
      </c>
    </row>
    <row r="81" spans="1:81" s="9" customFormat="1" ht="80.25" customHeight="1" x14ac:dyDescent="0.25">
      <c r="A81" s="2" t="s">
        <v>1550</v>
      </c>
      <c r="B81" s="2" t="s">
        <v>1018</v>
      </c>
      <c r="C81" s="2" t="s">
        <v>552</v>
      </c>
      <c r="D81" s="12" t="s">
        <v>1019</v>
      </c>
      <c r="E81" s="2"/>
      <c r="F81" s="2" t="s">
        <v>65</v>
      </c>
      <c r="G81" s="2" t="s">
        <v>2023</v>
      </c>
      <c r="H81" s="2" t="s">
        <v>66</v>
      </c>
      <c r="I81" s="2" t="s">
        <v>5</v>
      </c>
      <c r="J81" s="2">
        <v>5</v>
      </c>
      <c r="K81" s="2" t="s">
        <v>67</v>
      </c>
      <c r="L81" s="22">
        <v>24950</v>
      </c>
      <c r="M81" s="22">
        <v>24950</v>
      </c>
      <c r="N81" s="2" t="s">
        <v>16</v>
      </c>
      <c r="O81" s="7"/>
      <c r="P81" s="7"/>
      <c r="Q81" s="7"/>
      <c r="R81" s="7"/>
      <c r="S81" s="7"/>
      <c r="T81" s="7"/>
      <c r="U81" s="7"/>
      <c r="V81" s="7"/>
      <c r="W81" s="7"/>
      <c r="X81" s="7"/>
      <c r="Y81" s="7"/>
      <c r="Z81" s="7"/>
      <c r="AA81" s="7"/>
      <c r="AB81" s="7"/>
      <c r="AC81" s="7"/>
      <c r="AD81" s="7">
        <v>24950</v>
      </c>
      <c r="AE81" s="7">
        <v>0</v>
      </c>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8">
        <v>45964</v>
      </c>
      <c r="BX81" s="2"/>
      <c r="BY81" s="2" t="s">
        <v>1800</v>
      </c>
      <c r="BZ81" s="1" t="s">
        <v>1697</v>
      </c>
      <c r="CA81" s="14">
        <f t="shared" si="12"/>
        <v>24950</v>
      </c>
      <c r="CB81" s="2" t="str">
        <f t="shared" si="13"/>
        <v>OK</v>
      </c>
      <c r="CC81" s="13">
        <f t="shared" si="14"/>
        <v>0</v>
      </c>
    </row>
    <row r="82" spans="1:81" s="9" customFormat="1" ht="161.25" customHeight="1" x14ac:dyDescent="0.25">
      <c r="A82" s="64" t="s">
        <v>1559</v>
      </c>
      <c r="B82" s="2" t="s">
        <v>1037</v>
      </c>
      <c r="C82" s="64" t="s">
        <v>74</v>
      </c>
      <c r="D82" s="65" t="s">
        <v>2063</v>
      </c>
      <c r="E82" s="2"/>
      <c r="F82" s="64" t="s">
        <v>72</v>
      </c>
      <c r="G82" s="64" t="s">
        <v>2023</v>
      </c>
      <c r="H82" s="64" t="s">
        <v>66</v>
      </c>
      <c r="I82" s="64" t="s">
        <v>5</v>
      </c>
      <c r="J82" s="64" t="s">
        <v>1618</v>
      </c>
      <c r="K82" s="64" t="s">
        <v>67</v>
      </c>
      <c r="L82" s="66">
        <f>200000-31104.42</f>
        <v>168895.58000000002</v>
      </c>
      <c r="M82" s="66">
        <f>200000-31104.42</f>
        <v>168895.58000000002</v>
      </c>
      <c r="N82" s="64" t="s">
        <v>2049</v>
      </c>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v>50000</v>
      </c>
      <c r="BG82" s="7">
        <v>50000</v>
      </c>
      <c r="BH82" s="7"/>
      <c r="BI82" s="7"/>
      <c r="BJ82" s="7"/>
      <c r="BK82" s="7"/>
      <c r="BL82" s="7"/>
      <c r="BM82" s="7"/>
      <c r="BN82" s="7"/>
      <c r="BO82" s="7"/>
      <c r="BP82" s="7"/>
      <c r="BQ82" s="7"/>
      <c r="BR82" s="7"/>
      <c r="BS82" s="7">
        <v>100000</v>
      </c>
      <c r="BT82" s="7"/>
      <c r="BU82" s="7"/>
      <c r="BV82" s="7"/>
      <c r="BW82" s="67">
        <v>45967</v>
      </c>
      <c r="BX82" s="2"/>
      <c r="BY82" s="64" t="s">
        <v>1801</v>
      </c>
      <c r="BZ82" s="1" t="s">
        <v>1698</v>
      </c>
      <c r="CA82" s="14">
        <f t="shared" si="12"/>
        <v>200000</v>
      </c>
      <c r="CB82" s="2" t="str">
        <f t="shared" si="13"/>
        <v>CORRIGIR</v>
      </c>
      <c r="CC82" s="13">
        <f t="shared" si="14"/>
        <v>-31104.419999999984</v>
      </c>
    </row>
    <row r="83" spans="1:81" s="9" customFormat="1" ht="113.25" customHeight="1" x14ac:dyDescent="0.25">
      <c r="A83" s="2" t="s">
        <v>1555</v>
      </c>
      <c r="B83" s="2" t="s">
        <v>1029</v>
      </c>
      <c r="C83" s="2" t="s">
        <v>74</v>
      </c>
      <c r="D83" s="12" t="s">
        <v>1030</v>
      </c>
      <c r="E83" s="2"/>
      <c r="F83" s="2" t="s">
        <v>72</v>
      </c>
      <c r="G83" s="2" t="s">
        <v>2023</v>
      </c>
      <c r="H83" s="2" t="s">
        <v>66</v>
      </c>
      <c r="I83" s="2" t="s">
        <v>5</v>
      </c>
      <c r="J83" s="2">
        <v>1</v>
      </c>
      <c r="K83" s="2" t="s">
        <v>67</v>
      </c>
      <c r="L83" s="22">
        <v>150000</v>
      </c>
      <c r="M83" s="22">
        <v>150000</v>
      </c>
      <c r="N83" s="2" t="s">
        <v>39</v>
      </c>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v>150000</v>
      </c>
      <c r="BT83" s="7"/>
      <c r="BU83" s="7"/>
      <c r="BV83" s="7"/>
      <c r="BW83" s="8">
        <v>45980</v>
      </c>
      <c r="BX83" s="2"/>
      <c r="BY83" s="2" t="s">
        <v>1801</v>
      </c>
      <c r="BZ83" s="1" t="s">
        <v>1697</v>
      </c>
      <c r="CA83" s="14">
        <f t="shared" si="12"/>
        <v>150000</v>
      </c>
      <c r="CB83" s="2" t="str">
        <f t="shared" si="13"/>
        <v>OK</v>
      </c>
      <c r="CC83" s="13">
        <f t="shared" si="14"/>
        <v>0</v>
      </c>
    </row>
    <row r="84" spans="1:81" s="9" customFormat="1" ht="116.25" customHeight="1" x14ac:dyDescent="0.25">
      <c r="A84" s="2" t="s">
        <v>1379</v>
      </c>
      <c r="B84" s="2" t="s">
        <v>669</v>
      </c>
      <c r="C84" s="2" t="s">
        <v>350</v>
      </c>
      <c r="D84" s="12" t="s">
        <v>670</v>
      </c>
      <c r="E84" s="2"/>
      <c r="F84" s="2" t="s">
        <v>72</v>
      </c>
      <c r="G84" s="2" t="s">
        <v>2023</v>
      </c>
      <c r="H84" s="2" t="s">
        <v>66</v>
      </c>
      <c r="I84" s="2" t="s">
        <v>5</v>
      </c>
      <c r="J84" s="2" t="s">
        <v>1618</v>
      </c>
      <c r="K84" s="2" t="s">
        <v>67</v>
      </c>
      <c r="L84" s="22">
        <v>90000</v>
      </c>
      <c r="M84" s="22">
        <v>90000</v>
      </c>
      <c r="N84" s="2" t="s">
        <v>39</v>
      </c>
      <c r="O84" s="7"/>
      <c r="P84" s="7"/>
      <c r="Q84" s="7"/>
      <c r="R84" s="7"/>
      <c r="S84" s="7"/>
      <c r="T84" s="7"/>
      <c r="U84" s="7"/>
      <c r="V84" s="7"/>
      <c r="W84" s="7"/>
      <c r="X84" s="7"/>
      <c r="Y84" s="7"/>
      <c r="Z84" s="7"/>
      <c r="AA84" s="7"/>
      <c r="AB84" s="7"/>
      <c r="AC84" s="7"/>
      <c r="AD84" s="7">
        <v>90000</v>
      </c>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8">
        <v>45986</v>
      </c>
      <c r="BX84" s="2"/>
      <c r="BY84" s="2" t="s">
        <v>1799</v>
      </c>
      <c r="BZ84" s="1" t="s">
        <v>1698</v>
      </c>
      <c r="CA84" s="14">
        <f t="shared" si="12"/>
        <v>90000</v>
      </c>
      <c r="CB84" s="2" t="str">
        <f t="shared" si="13"/>
        <v>OK</v>
      </c>
      <c r="CC84" s="13">
        <f t="shared" si="14"/>
        <v>0</v>
      </c>
    </row>
    <row r="85" spans="1:81" s="9" customFormat="1" ht="156" customHeight="1" x14ac:dyDescent="0.25">
      <c r="A85" s="64" t="s">
        <v>2168</v>
      </c>
      <c r="B85" s="2"/>
      <c r="C85" s="64" t="s">
        <v>2056</v>
      </c>
      <c r="D85" s="65" t="s">
        <v>2170</v>
      </c>
      <c r="E85" s="2"/>
      <c r="F85" s="64" t="s">
        <v>2169</v>
      </c>
      <c r="G85" s="64" t="s">
        <v>2023</v>
      </c>
      <c r="H85" s="64" t="s">
        <v>66</v>
      </c>
      <c r="I85" s="64" t="s">
        <v>5</v>
      </c>
      <c r="J85" s="64" t="s">
        <v>1618</v>
      </c>
      <c r="K85" s="64" t="s">
        <v>67</v>
      </c>
      <c r="L85" s="66">
        <v>3750000</v>
      </c>
      <c r="M85" s="66">
        <v>3750000</v>
      </c>
      <c r="N85" s="67" t="s">
        <v>16</v>
      </c>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67">
        <v>46001</v>
      </c>
      <c r="BX85" s="2"/>
      <c r="BY85" s="64" t="s">
        <v>2175</v>
      </c>
      <c r="BZ85" s="1"/>
      <c r="CA85" s="14"/>
      <c r="CB85" s="2"/>
      <c r="CC85" s="13"/>
    </row>
    <row r="86" spans="1:81" s="9" customFormat="1" ht="139.5" customHeight="1" x14ac:dyDescent="0.25">
      <c r="A86" s="64" t="s">
        <v>1232</v>
      </c>
      <c r="B86" s="57" t="s">
        <v>388</v>
      </c>
      <c r="C86" s="64" t="s">
        <v>342</v>
      </c>
      <c r="D86" s="65" t="s">
        <v>389</v>
      </c>
      <c r="E86" s="57"/>
      <c r="F86" s="64" t="s">
        <v>72</v>
      </c>
      <c r="G86" s="64" t="s">
        <v>1788</v>
      </c>
      <c r="H86" s="64" t="s">
        <v>66</v>
      </c>
      <c r="I86" s="64" t="s">
        <v>1663</v>
      </c>
      <c r="J86" s="64" t="s">
        <v>1618</v>
      </c>
      <c r="K86" s="64" t="s">
        <v>67</v>
      </c>
      <c r="L86" s="66">
        <f>367867258.08+92508784.56</f>
        <v>460376042.63999999</v>
      </c>
      <c r="M86" s="66">
        <f>154933629.04+29829877.08</f>
        <v>184763506.12</v>
      </c>
      <c r="N86" s="64" t="s">
        <v>1139</v>
      </c>
      <c r="O86" s="58"/>
      <c r="P86" s="58"/>
      <c r="Q86" s="58"/>
      <c r="R86" s="58"/>
      <c r="S86" s="58"/>
      <c r="T86" s="58"/>
      <c r="U86" s="58"/>
      <c r="V86" s="58"/>
      <c r="W86" s="58"/>
      <c r="X86" s="58"/>
      <c r="Y86" s="58"/>
      <c r="Z86" s="58"/>
      <c r="AA86" s="58"/>
      <c r="AB86" s="58"/>
      <c r="AC86" s="58"/>
      <c r="AD86" s="58"/>
      <c r="AE86" s="58"/>
      <c r="AF86" s="58"/>
      <c r="AG86" s="58">
        <f>29786725.81+14468014.22</f>
        <v>44254740.030000001</v>
      </c>
      <c r="AH86" s="58">
        <f>46180088.71+22430601.62</f>
        <v>68610690.329999998</v>
      </c>
      <c r="AI86" s="58"/>
      <c r="AJ86" s="58"/>
      <c r="AK86" s="58"/>
      <c r="AL86" s="58"/>
      <c r="AM86" s="58"/>
      <c r="AN86" s="58"/>
      <c r="AO86" s="58"/>
      <c r="AP86" s="58"/>
      <c r="AQ86" s="58"/>
      <c r="AR86" s="58"/>
      <c r="AS86" s="58">
        <f>78966814.52-7068738.76</f>
        <v>71898075.75999999</v>
      </c>
      <c r="AT86" s="58"/>
      <c r="AU86" s="58"/>
      <c r="AV86" s="58"/>
      <c r="AW86" s="58"/>
      <c r="AX86" s="58"/>
      <c r="AY86" s="58"/>
      <c r="AZ86" s="58"/>
      <c r="BA86" s="58"/>
      <c r="BB86" s="58"/>
      <c r="BC86" s="58"/>
      <c r="BD86" s="58"/>
      <c r="BE86" s="58"/>
      <c r="BF86" s="58"/>
      <c r="BG86" s="58"/>
      <c r="BH86" s="58"/>
      <c r="BI86" s="58"/>
      <c r="BJ86" s="58"/>
      <c r="BK86" s="58"/>
      <c r="BL86" s="58"/>
      <c r="BM86" s="58"/>
      <c r="BN86" s="58"/>
      <c r="BO86" s="58"/>
      <c r="BP86" s="58"/>
      <c r="BQ86" s="58"/>
      <c r="BR86" s="58"/>
      <c r="BS86" s="58"/>
      <c r="BT86" s="58"/>
      <c r="BU86" s="58"/>
      <c r="BV86" s="58"/>
      <c r="BW86" s="67">
        <v>45691</v>
      </c>
      <c r="BX86" s="57"/>
      <c r="BY86" s="64" t="s">
        <v>1801</v>
      </c>
      <c r="BZ86" s="2"/>
      <c r="CA86" s="14">
        <f t="shared" si="12"/>
        <v>184763506.12</v>
      </c>
      <c r="CB86" s="2" t="str">
        <f t="shared" si="13"/>
        <v>OK</v>
      </c>
      <c r="CC86" s="13">
        <f t="shared" si="14"/>
        <v>0</v>
      </c>
    </row>
    <row r="87" spans="1:81" s="9" customFormat="1" ht="61.5" customHeight="1" x14ac:dyDescent="0.25">
      <c r="A87" s="2" t="s">
        <v>1441</v>
      </c>
      <c r="B87" s="2" t="s">
        <v>924</v>
      </c>
      <c r="C87" s="2" t="s">
        <v>681</v>
      </c>
      <c r="D87" s="12" t="s">
        <v>925</v>
      </c>
      <c r="E87" s="2"/>
      <c r="F87" s="2" t="s">
        <v>72</v>
      </c>
      <c r="G87" s="2" t="s">
        <v>2037</v>
      </c>
      <c r="H87" s="2" t="s">
        <v>66</v>
      </c>
      <c r="I87" s="2" t="s">
        <v>1618</v>
      </c>
      <c r="J87" s="2" t="s">
        <v>1618</v>
      </c>
      <c r="K87" s="2" t="s">
        <v>67</v>
      </c>
      <c r="L87" s="22">
        <v>224524</v>
      </c>
      <c r="M87" s="22">
        <v>224524</v>
      </c>
      <c r="N87" s="2" t="s">
        <v>14</v>
      </c>
      <c r="O87" s="7">
        <v>0</v>
      </c>
      <c r="P87" s="7"/>
      <c r="Q87" s="7"/>
      <c r="R87" s="7"/>
      <c r="S87" s="7"/>
      <c r="T87" s="7"/>
      <c r="U87" s="7"/>
      <c r="V87" s="7"/>
      <c r="W87" s="7"/>
      <c r="X87" s="7"/>
      <c r="Y87" s="7"/>
      <c r="Z87" s="7"/>
      <c r="AA87" s="7">
        <v>224524</v>
      </c>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8">
        <v>45748</v>
      </c>
      <c r="BX87" s="2"/>
      <c r="BY87" s="2" t="s">
        <v>1799</v>
      </c>
      <c r="BZ87" s="2"/>
      <c r="CA87" s="14">
        <f t="shared" si="12"/>
        <v>224524</v>
      </c>
      <c r="CB87" s="2" t="str">
        <f t="shared" si="13"/>
        <v>OK</v>
      </c>
      <c r="CC87" s="13">
        <f t="shared" si="14"/>
        <v>0</v>
      </c>
    </row>
    <row r="88" spans="1:81" s="9" customFormat="1" ht="69" customHeight="1" x14ac:dyDescent="0.25">
      <c r="A88" s="2" t="s">
        <v>1304</v>
      </c>
      <c r="B88" s="2" t="s">
        <v>593</v>
      </c>
      <c r="C88" s="2" t="s">
        <v>379</v>
      </c>
      <c r="D88" s="12" t="s">
        <v>594</v>
      </c>
      <c r="E88" s="2"/>
      <c r="F88" s="2" t="s">
        <v>65</v>
      </c>
      <c r="G88" s="2" t="s">
        <v>2024</v>
      </c>
      <c r="H88" s="2" t="s">
        <v>66</v>
      </c>
      <c r="I88" s="2" t="s">
        <v>5</v>
      </c>
      <c r="J88" s="2">
        <v>1</v>
      </c>
      <c r="K88" s="2" t="s">
        <v>384</v>
      </c>
      <c r="L88" s="22">
        <v>2635736.79</v>
      </c>
      <c r="M88" s="22">
        <v>1317868.3999999999</v>
      </c>
      <c r="N88" s="2" t="s">
        <v>398</v>
      </c>
      <c r="O88" s="7"/>
      <c r="P88" s="7"/>
      <c r="Q88" s="7"/>
      <c r="R88" s="7">
        <v>1317868.3999999999</v>
      </c>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8">
        <v>45716</v>
      </c>
      <c r="BX88" s="2"/>
      <c r="BY88" s="2" t="s">
        <v>1804</v>
      </c>
      <c r="BZ88" s="2"/>
      <c r="CA88" s="14">
        <f t="shared" si="12"/>
        <v>1317868.3999999999</v>
      </c>
      <c r="CB88" s="2" t="str">
        <f t="shared" si="13"/>
        <v>OK</v>
      </c>
      <c r="CC88" s="13">
        <f t="shared" si="14"/>
        <v>0</v>
      </c>
    </row>
    <row r="89" spans="1:81" s="9" customFormat="1" ht="66.75" customHeight="1" x14ac:dyDescent="0.25">
      <c r="A89" s="2" t="s">
        <v>1266</v>
      </c>
      <c r="B89" s="2" t="s">
        <v>1118</v>
      </c>
      <c r="C89" s="2" t="s">
        <v>379</v>
      </c>
      <c r="D89" s="12" t="s">
        <v>1825</v>
      </c>
      <c r="E89" s="2"/>
      <c r="F89" s="2" t="s">
        <v>65</v>
      </c>
      <c r="G89" s="2" t="s">
        <v>2024</v>
      </c>
      <c r="H89" s="2" t="s">
        <v>66</v>
      </c>
      <c r="I89" s="2" t="s">
        <v>5</v>
      </c>
      <c r="J89" s="2">
        <v>1</v>
      </c>
      <c r="K89" s="2" t="s">
        <v>384</v>
      </c>
      <c r="L89" s="22">
        <v>6720400</v>
      </c>
      <c r="M89" s="22">
        <v>1000000</v>
      </c>
      <c r="N89" s="2" t="s">
        <v>49</v>
      </c>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v>1000000</v>
      </c>
      <c r="BE89" s="7"/>
      <c r="BF89" s="7"/>
      <c r="BG89" s="7"/>
      <c r="BH89" s="7"/>
      <c r="BI89" s="7"/>
      <c r="BJ89" s="7"/>
      <c r="BK89" s="7">
        <v>0</v>
      </c>
      <c r="BL89" s="7"/>
      <c r="BM89" s="7"/>
      <c r="BN89" s="7"/>
      <c r="BO89" s="7"/>
      <c r="BP89" s="7"/>
      <c r="BQ89" s="7"/>
      <c r="BR89" s="7"/>
      <c r="BS89" s="7"/>
      <c r="BT89" s="7"/>
      <c r="BU89" s="7"/>
      <c r="BV89" s="7"/>
      <c r="BW89" s="8">
        <v>45838</v>
      </c>
      <c r="BX89" s="2"/>
      <c r="BY89" s="2" t="s">
        <v>1804</v>
      </c>
      <c r="BZ89" s="2"/>
      <c r="CA89" s="14">
        <f t="shared" si="12"/>
        <v>1000000</v>
      </c>
      <c r="CB89" s="2" t="str">
        <f t="shared" si="13"/>
        <v>OK</v>
      </c>
      <c r="CC89" s="13">
        <f t="shared" si="14"/>
        <v>0</v>
      </c>
    </row>
    <row r="90" spans="1:81" s="9" customFormat="1" ht="99" customHeight="1" x14ac:dyDescent="0.25">
      <c r="A90" s="2" t="s">
        <v>1303</v>
      </c>
      <c r="B90" s="2" t="s">
        <v>636</v>
      </c>
      <c r="C90" s="2" t="s">
        <v>379</v>
      </c>
      <c r="D90" s="12" t="s">
        <v>637</v>
      </c>
      <c r="E90" s="2"/>
      <c r="F90" s="2" t="s">
        <v>65</v>
      </c>
      <c r="G90" s="2" t="s">
        <v>2024</v>
      </c>
      <c r="H90" s="2" t="s">
        <v>66</v>
      </c>
      <c r="I90" s="2" t="s">
        <v>5</v>
      </c>
      <c r="J90" s="2">
        <v>1</v>
      </c>
      <c r="K90" s="2" t="s">
        <v>384</v>
      </c>
      <c r="L90" s="22">
        <v>1463104.22</v>
      </c>
      <c r="M90" s="22">
        <v>500000</v>
      </c>
      <c r="N90" s="2" t="s">
        <v>381</v>
      </c>
      <c r="O90" s="7"/>
      <c r="P90" s="7"/>
      <c r="Q90" s="7"/>
      <c r="R90" s="7">
        <v>500000</v>
      </c>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8">
        <v>45838</v>
      </c>
      <c r="BX90" s="2"/>
      <c r="BY90" s="2" t="s">
        <v>1804</v>
      </c>
      <c r="BZ90" s="2" t="s">
        <v>1737</v>
      </c>
      <c r="CA90" s="14">
        <f t="shared" si="12"/>
        <v>500000</v>
      </c>
      <c r="CB90" s="2" t="str">
        <f t="shared" si="13"/>
        <v>OK</v>
      </c>
      <c r="CC90" s="13">
        <f t="shared" si="14"/>
        <v>0</v>
      </c>
    </row>
    <row r="91" spans="1:81" s="9" customFormat="1" ht="102" customHeight="1" x14ac:dyDescent="0.25">
      <c r="A91" s="2" t="s">
        <v>1278</v>
      </c>
      <c r="B91" s="2" t="s">
        <v>493</v>
      </c>
      <c r="C91" s="2" t="s">
        <v>379</v>
      </c>
      <c r="D91" s="12" t="s">
        <v>494</v>
      </c>
      <c r="E91" s="2"/>
      <c r="F91" s="2" t="s">
        <v>65</v>
      </c>
      <c r="G91" s="2" t="s">
        <v>2024</v>
      </c>
      <c r="H91" s="2" t="s">
        <v>66</v>
      </c>
      <c r="I91" s="2" t="s">
        <v>5</v>
      </c>
      <c r="J91" s="2">
        <v>1</v>
      </c>
      <c r="K91" s="2" t="s">
        <v>384</v>
      </c>
      <c r="L91" s="22">
        <v>3500000</v>
      </c>
      <c r="M91" s="22">
        <v>500000</v>
      </c>
      <c r="N91" s="2" t="s">
        <v>381</v>
      </c>
      <c r="O91" s="7"/>
      <c r="P91" s="7"/>
      <c r="Q91" s="7"/>
      <c r="R91" s="7">
        <v>500000</v>
      </c>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8">
        <v>45898</v>
      </c>
      <c r="BX91" s="2"/>
      <c r="BY91" s="2" t="s">
        <v>1804</v>
      </c>
      <c r="BZ91" s="2"/>
      <c r="CA91" s="14">
        <f t="shared" si="12"/>
        <v>500000</v>
      </c>
      <c r="CB91" s="2" t="str">
        <f t="shared" si="13"/>
        <v>OK</v>
      </c>
      <c r="CC91" s="13">
        <f t="shared" si="14"/>
        <v>0</v>
      </c>
    </row>
    <row r="92" spans="1:81" s="9" customFormat="1" ht="104.25" customHeight="1" x14ac:dyDescent="0.25">
      <c r="A92" s="2" t="s">
        <v>1270</v>
      </c>
      <c r="B92" s="2" t="s">
        <v>509</v>
      </c>
      <c r="C92" s="2" t="s">
        <v>379</v>
      </c>
      <c r="D92" s="12" t="s">
        <v>510</v>
      </c>
      <c r="E92" s="2"/>
      <c r="F92" s="2" t="s">
        <v>65</v>
      </c>
      <c r="G92" s="2" t="s">
        <v>2024</v>
      </c>
      <c r="H92" s="2" t="s">
        <v>66</v>
      </c>
      <c r="I92" s="2" t="s">
        <v>5</v>
      </c>
      <c r="J92" s="2">
        <v>1</v>
      </c>
      <c r="K92" s="2" t="s">
        <v>384</v>
      </c>
      <c r="L92" s="22">
        <v>5826270</v>
      </c>
      <c r="M92" s="22">
        <v>500000</v>
      </c>
      <c r="N92" s="2" t="s">
        <v>381</v>
      </c>
      <c r="O92" s="7"/>
      <c r="P92" s="7"/>
      <c r="Q92" s="7"/>
      <c r="R92" s="7">
        <v>500000</v>
      </c>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8">
        <v>45992</v>
      </c>
      <c r="BX92" s="2"/>
      <c r="BY92" s="2" t="s">
        <v>1804</v>
      </c>
      <c r="BZ92" s="2"/>
      <c r="CA92" s="14">
        <f t="shared" si="12"/>
        <v>500000</v>
      </c>
      <c r="CB92" s="2" t="str">
        <f t="shared" si="13"/>
        <v>OK</v>
      </c>
      <c r="CC92" s="13">
        <f t="shared" si="14"/>
        <v>0</v>
      </c>
    </row>
    <row r="93" spans="1:81" s="9" customFormat="1" ht="99" customHeight="1" x14ac:dyDescent="0.25">
      <c r="A93" s="2" t="s">
        <v>1386</v>
      </c>
      <c r="B93" s="2" t="s">
        <v>858</v>
      </c>
      <c r="C93" s="2" t="s">
        <v>681</v>
      </c>
      <c r="D93" s="12" t="s">
        <v>859</v>
      </c>
      <c r="E93" s="2"/>
      <c r="F93" s="2" t="s">
        <v>72</v>
      </c>
      <c r="G93" s="2" t="s">
        <v>2024</v>
      </c>
      <c r="H93" s="2" t="s">
        <v>66</v>
      </c>
      <c r="I93" s="2" t="s">
        <v>5</v>
      </c>
      <c r="J93" s="2" t="s">
        <v>1675</v>
      </c>
      <c r="K93" s="2" t="s">
        <v>384</v>
      </c>
      <c r="L93" s="22">
        <v>17500000</v>
      </c>
      <c r="M93" s="22">
        <v>17500000</v>
      </c>
      <c r="N93" s="2" t="s">
        <v>381</v>
      </c>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v>7875000</v>
      </c>
      <c r="AU93" s="7">
        <v>9625000</v>
      </c>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8">
        <v>46021</v>
      </c>
      <c r="BX93" s="2"/>
      <c r="BY93" s="2" t="s">
        <v>1805</v>
      </c>
      <c r="BZ93" s="2"/>
      <c r="CA93" s="14">
        <f t="shared" si="12"/>
        <v>17500000</v>
      </c>
      <c r="CB93" s="2" t="str">
        <f t="shared" si="13"/>
        <v>OK</v>
      </c>
      <c r="CC93" s="13">
        <f t="shared" si="14"/>
        <v>0</v>
      </c>
    </row>
    <row r="94" spans="1:81" s="9" customFormat="1" ht="69.75" customHeight="1" x14ac:dyDescent="0.25">
      <c r="A94" s="2" t="s">
        <v>1368</v>
      </c>
      <c r="B94" s="2" t="s">
        <v>628</v>
      </c>
      <c r="C94" s="2" t="s">
        <v>379</v>
      </c>
      <c r="D94" s="12" t="s">
        <v>629</v>
      </c>
      <c r="E94" s="2"/>
      <c r="F94" s="2" t="s">
        <v>65</v>
      </c>
      <c r="G94" s="2" t="s">
        <v>2025</v>
      </c>
      <c r="H94" s="2" t="s">
        <v>66</v>
      </c>
      <c r="I94" s="2" t="s">
        <v>5</v>
      </c>
      <c r="J94" s="2">
        <v>1</v>
      </c>
      <c r="K94" s="2" t="s">
        <v>67</v>
      </c>
      <c r="L94" s="22">
        <v>1110000</v>
      </c>
      <c r="M94" s="22">
        <v>222000</v>
      </c>
      <c r="N94" s="2" t="s">
        <v>49</v>
      </c>
      <c r="O94" s="7"/>
      <c r="P94" s="7"/>
      <c r="Q94" s="7"/>
      <c r="R94" s="7"/>
      <c r="S94" s="7"/>
      <c r="T94" s="7"/>
      <c r="U94" s="7"/>
      <c r="V94" s="7"/>
      <c r="W94" s="7"/>
      <c r="X94" s="7"/>
      <c r="Y94" s="7"/>
      <c r="Z94" s="7"/>
      <c r="AA94" s="7"/>
      <c r="AB94" s="7"/>
      <c r="AC94" s="7"/>
      <c r="AD94" s="7"/>
      <c r="AE94" s="7"/>
      <c r="AF94" s="7"/>
      <c r="AG94" s="7"/>
      <c r="AH94" s="7">
        <f>M94</f>
        <v>222000</v>
      </c>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8">
        <v>45691</v>
      </c>
      <c r="BX94" s="2"/>
      <c r="BY94" s="2" t="s">
        <v>1804</v>
      </c>
      <c r="BZ94" s="8" t="s">
        <v>1741</v>
      </c>
      <c r="CA94" s="14">
        <f t="shared" si="12"/>
        <v>222000</v>
      </c>
      <c r="CB94" s="2" t="str">
        <f t="shared" si="13"/>
        <v>OK</v>
      </c>
      <c r="CC94" s="13">
        <f t="shared" si="14"/>
        <v>0</v>
      </c>
    </row>
    <row r="95" spans="1:81" s="9" customFormat="1" ht="88.5" customHeight="1" x14ac:dyDescent="0.25">
      <c r="A95" s="2" t="s">
        <v>1422</v>
      </c>
      <c r="B95" s="2" t="s">
        <v>1099</v>
      </c>
      <c r="C95" s="2" t="s">
        <v>681</v>
      </c>
      <c r="D95" s="12" t="s">
        <v>1990</v>
      </c>
      <c r="E95" s="2"/>
      <c r="F95" s="2" t="s">
        <v>72</v>
      </c>
      <c r="G95" s="2" t="s">
        <v>2025</v>
      </c>
      <c r="H95" s="2" t="s">
        <v>66</v>
      </c>
      <c r="I95" s="2" t="s">
        <v>1678</v>
      </c>
      <c r="J95" s="2">
        <v>1</v>
      </c>
      <c r="K95" s="2" t="s">
        <v>67</v>
      </c>
      <c r="L95" s="22">
        <v>564134.76</v>
      </c>
      <c r="M95" s="22">
        <v>564134.76</v>
      </c>
      <c r="N95" s="2" t="s">
        <v>14</v>
      </c>
      <c r="O95" s="7"/>
      <c r="P95" s="7"/>
      <c r="Q95" s="7"/>
      <c r="R95" s="7"/>
      <c r="S95" s="7"/>
      <c r="T95" s="7"/>
      <c r="U95" s="7"/>
      <c r="V95" s="7"/>
      <c r="W95" s="7"/>
      <c r="X95" s="7">
        <v>0</v>
      </c>
      <c r="Y95" s="7"/>
      <c r="Z95" s="7"/>
      <c r="AA95" s="7">
        <v>564134.76</v>
      </c>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8">
        <v>45807</v>
      </c>
      <c r="BX95" s="15"/>
      <c r="BY95" s="15" t="s">
        <v>1805</v>
      </c>
      <c r="BZ95" s="2" t="s">
        <v>1742</v>
      </c>
      <c r="CA95" s="14">
        <f t="shared" si="12"/>
        <v>564134.76</v>
      </c>
      <c r="CB95" s="2" t="str">
        <f t="shared" si="13"/>
        <v>OK</v>
      </c>
      <c r="CC95" s="13">
        <f t="shared" si="14"/>
        <v>0</v>
      </c>
    </row>
    <row r="96" spans="1:81" s="9" customFormat="1" ht="88.5" customHeight="1" x14ac:dyDescent="0.25">
      <c r="A96" s="2" t="s">
        <v>1451</v>
      </c>
      <c r="B96" s="2" t="s">
        <v>1108</v>
      </c>
      <c r="C96" s="2" t="s">
        <v>681</v>
      </c>
      <c r="D96" s="12" t="s">
        <v>1109</v>
      </c>
      <c r="E96" s="2"/>
      <c r="F96" s="2" t="s">
        <v>72</v>
      </c>
      <c r="G96" s="2" t="s">
        <v>2025</v>
      </c>
      <c r="H96" s="2" t="s">
        <v>66</v>
      </c>
      <c r="I96" s="2" t="s">
        <v>5</v>
      </c>
      <c r="J96" s="2">
        <v>1</v>
      </c>
      <c r="K96" s="2" t="s">
        <v>67</v>
      </c>
      <c r="L96" s="22">
        <v>132000</v>
      </c>
      <c r="M96" s="22">
        <v>132000</v>
      </c>
      <c r="N96" s="2" t="s">
        <v>14</v>
      </c>
      <c r="O96" s="7">
        <v>0</v>
      </c>
      <c r="P96" s="7"/>
      <c r="Q96" s="7"/>
      <c r="R96" s="7"/>
      <c r="S96" s="7"/>
      <c r="T96" s="7"/>
      <c r="U96" s="7"/>
      <c r="V96" s="7"/>
      <c r="W96" s="7"/>
      <c r="X96" s="7"/>
      <c r="Y96" s="7"/>
      <c r="Z96" s="7"/>
      <c r="AA96" s="7">
        <v>132000</v>
      </c>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8">
        <v>45807</v>
      </c>
      <c r="BX96" s="15"/>
      <c r="BY96" s="15" t="s">
        <v>1805</v>
      </c>
      <c r="BZ96" s="2"/>
      <c r="CA96" s="14">
        <f t="shared" si="12"/>
        <v>132000</v>
      </c>
      <c r="CB96" s="2" t="str">
        <f t="shared" si="13"/>
        <v>OK</v>
      </c>
      <c r="CC96" s="13">
        <f t="shared" si="14"/>
        <v>0</v>
      </c>
    </row>
    <row r="97" spans="1:82" s="9" customFormat="1" ht="86.25" customHeight="1" x14ac:dyDescent="0.25">
      <c r="A97" s="2" t="s">
        <v>1364</v>
      </c>
      <c r="B97" s="2" t="s">
        <v>641</v>
      </c>
      <c r="C97" s="2" t="s">
        <v>379</v>
      </c>
      <c r="D97" s="12" t="s">
        <v>1826</v>
      </c>
      <c r="E97" s="2"/>
      <c r="F97" s="2" t="s">
        <v>65</v>
      </c>
      <c r="G97" s="2" t="s">
        <v>2025</v>
      </c>
      <c r="H97" s="2" t="s">
        <v>66</v>
      </c>
      <c r="I97" s="2" t="s">
        <v>5</v>
      </c>
      <c r="J97" s="2">
        <v>1</v>
      </c>
      <c r="K97" s="2" t="s">
        <v>67</v>
      </c>
      <c r="L97" s="22">
        <v>2163105</v>
      </c>
      <c r="M97" s="22">
        <v>432621</v>
      </c>
      <c r="N97" s="2" t="s">
        <v>49</v>
      </c>
      <c r="O97" s="7"/>
      <c r="P97" s="7"/>
      <c r="Q97" s="7"/>
      <c r="R97" s="7"/>
      <c r="S97" s="7"/>
      <c r="T97" s="7"/>
      <c r="U97" s="7"/>
      <c r="V97" s="7"/>
      <c r="W97" s="7"/>
      <c r="X97" s="7"/>
      <c r="Y97" s="7"/>
      <c r="Z97" s="7"/>
      <c r="AA97" s="7"/>
      <c r="AB97" s="7"/>
      <c r="AC97" s="7"/>
      <c r="AD97" s="7"/>
      <c r="AE97" s="7"/>
      <c r="AF97" s="7"/>
      <c r="AG97" s="7"/>
      <c r="AH97" s="7">
        <f>M97</f>
        <v>432621</v>
      </c>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8">
        <v>45838</v>
      </c>
      <c r="BX97" s="2"/>
      <c r="BY97" s="2" t="s">
        <v>1804</v>
      </c>
      <c r="BZ97" s="2"/>
      <c r="CA97" s="14"/>
      <c r="CB97" s="2"/>
      <c r="CC97" s="13"/>
    </row>
    <row r="98" spans="1:82" s="9" customFormat="1" ht="108.75" customHeight="1" x14ac:dyDescent="0.25">
      <c r="A98" s="2" t="s">
        <v>1263</v>
      </c>
      <c r="B98" s="2" t="s">
        <v>595</v>
      </c>
      <c r="C98" s="2" t="s">
        <v>379</v>
      </c>
      <c r="D98" s="12" t="s">
        <v>596</v>
      </c>
      <c r="E98" s="2"/>
      <c r="F98" s="2" t="s">
        <v>65</v>
      </c>
      <c r="G98" s="2" t="s">
        <v>2025</v>
      </c>
      <c r="H98" s="2" t="s">
        <v>66</v>
      </c>
      <c r="I98" s="2" t="s">
        <v>5</v>
      </c>
      <c r="J98" s="2">
        <v>1</v>
      </c>
      <c r="K98" s="2" t="s">
        <v>67</v>
      </c>
      <c r="L98" s="22">
        <v>860663.16</v>
      </c>
      <c r="M98" s="22">
        <v>860663.16</v>
      </c>
      <c r="N98" s="2" t="s">
        <v>1138</v>
      </c>
      <c r="O98" s="7"/>
      <c r="P98" s="7"/>
      <c r="Q98" s="7"/>
      <c r="R98" s="7"/>
      <c r="S98" s="7"/>
      <c r="T98" s="7"/>
      <c r="U98" s="7"/>
      <c r="V98" s="7"/>
      <c r="W98" s="7"/>
      <c r="X98" s="7"/>
      <c r="Y98" s="7"/>
      <c r="Z98" s="7"/>
      <c r="AA98" s="7"/>
      <c r="AB98" s="7"/>
      <c r="AC98" s="7"/>
      <c r="AD98" s="7"/>
      <c r="AE98" s="7"/>
      <c r="AF98" s="7"/>
      <c r="AG98" s="7"/>
      <c r="AH98" s="7">
        <v>860663.16</v>
      </c>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8">
        <v>45839</v>
      </c>
      <c r="BX98" s="2"/>
      <c r="BY98" s="2" t="s">
        <v>1804</v>
      </c>
      <c r="BZ98" s="2"/>
      <c r="CA98" s="14"/>
      <c r="CB98" s="2"/>
      <c r="CC98" s="13"/>
    </row>
    <row r="99" spans="1:82" s="9" customFormat="1" ht="71.25" customHeight="1" x14ac:dyDescent="0.25">
      <c r="A99" s="2" t="s">
        <v>1350</v>
      </c>
      <c r="B99" s="2" t="s">
        <v>393</v>
      </c>
      <c r="C99" s="2" t="s">
        <v>379</v>
      </c>
      <c r="D99" s="12" t="s">
        <v>394</v>
      </c>
      <c r="E99" s="2"/>
      <c r="F99" s="2" t="s">
        <v>65</v>
      </c>
      <c r="G99" s="2" t="s">
        <v>2025</v>
      </c>
      <c r="H99" s="2" t="s">
        <v>66</v>
      </c>
      <c r="I99" s="2" t="s">
        <v>5</v>
      </c>
      <c r="J99" s="2">
        <v>1</v>
      </c>
      <c r="K99" s="2" t="s">
        <v>67</v>
      </c>
      <c r="L99" s="22">
        <v>1440072</v>
      </c>
      <c r="M99" s="22">
        <v>100000</v>
      </c>
      <c r="N99" s="2" t="s">
        <v>48</v>
      </c>
      <c r="O99" s="7"/>
      <c r="P99" s="7"/>
      <c r="Q99" s="7"/>
      <c r="R99" s="7"/>
      <c r="S99" s="7"/>
      <c r="T99" s="7"/>
      <c r="U99" s="7"/>
      <c r="V99" s="7"/>
      <c r="W99" s="7"/>
      <c r="X99" s="7"/>
      <c r="Y99" s="7"/>
      <c r="Z99" s="7"/>
      <c r="AA99" s="7"/>
      <c r="AB99" s="7"/>
      <c r="AC99" s="7"/>
      <c r="AD99" s="7"/>
      <c r="AE99" s="7"/>
      <c r="AF99" s="7"/>
      <c r="AG99" s="7">
        <f>M99</f>
        <v>100000</v>
      </c>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8">
        <v>45992</v>
      </c>
      <c r="BX99" s="2"/>
      <c r="BY99" s="2" t="s">
        <v>1804</v>
      </c>
      <c r="BZ99" s="2"/>
      <c r="CA99" s="14">
        <f>SUM(O99:BV99)</f>
        <v>100000</v>
      </c>
      <c r="CB99" s="2" t="str">
        <f>IF(M99=CA99,"OK","CORRIGIR")</f>
        <v>OK</v>
      </c>
      <c r="CC99" s="13">
        <f>M99-CA99</f>
        <v>0</v>
      </c>
      <c r="CD99" s="50"/>
    </row>
    <row r="100" spans="1:82" s="9" customFormat="1" ht="101.25" customHeight="1" x14ac:dyDescent="0.25">
      <c r="A100" s="2" t="s">
        <v>1260</v>
      </c>
      <c r="B100" s="2" t="s">
        <v>378</v>
      </c>
      <c r="C100" s="2" t="s">
        <v>379</v>
      </c>
      <c r="D100" s="12" t="s">
        <v>380</v>
      </c>
      <c r="E100" s="2"/>
      <c r="F100" s="2" t="s">
        <v>65</v>
      </c>
      <c r="G100" s="2" t="s">
        <v>2025</v>
      </c>
      <c r="H100" s="2" t="s">
        <v>66</v>
      </c>
      <c r="I100" s="2" t="s">
        <v>5</v>
      </c>
      <c r="J100" s="2">
        <v>1</v>
      </c>
      <c r="K100" s="2" t="s">
        <v>67</v>
      </c>
      <c r="L100" s="22">
        <v>3110400</v>
      </c>
      <c r="M100" s="22">
        <v>500000</v>
      </c>
      <c r="N100" s="2" t="s">
        <v>1137</v>
      </c>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v>250000</v>
      </c>
      <c r="BJ100" s="7">
        <v>250000</v>
      </c>
      <c r="BK100" s="7"/>
      <c r="BL100" s="7"/>
      <c r="BM100" s="7"/>
      <c r="BN100" s="7"/>
      <c r="BO100" s="7"/>
      <c r="BP100" s="7"/>
      <c r="BQ100" s="7"/>
      <c r="BR100" s="7"/>
      <c r="BS100" s="7"/>
      <c r="BT100" s="7"/>
      <c r="BU100" s="7"/>
      <c r="BV100" s="7"/>
      <c r="BW100" s="8">
        <v>45993</v>
      </c>
      <c r="BX100" s="2"/>
      <c r="BY100" s="2" t="s">
        <v>1804</v>
      </c>
      <c r="BZ100" s="8" t="s">
        <v>1739</v>
      </c>
      <c r="CA100" s="14">
        <f>SUM(O100:BV100)</f>
        <v>500000</v>
      </c>
      <c r="CB100" s="2" t="str">
        <f>IF(M100=CA100,"OK","CORRIGIR")</f>
        <v>OK</v>
      </c>
      <c r="CC100" s="13">
        <f>M100-CA100</f>
        <v>0</v>
      </c>
    </row>
    <row r="101" spans="1:82" s="9" customFormat="1" ht="102.75" customHeight="1" x14ac:dyDescent="0.25">
      <c r="A101" s="2" t="s">
        <v>1606</v>
      </c>
      <c r="B101" s="2" t="s">
        <v>662</v>
      </c>
      <c r="C101" s="2" t="s">
        <v>591</v>
      </c>
      <c r="D101" s="12" t="s">
        <v>663</v>
      </c>
      <c r="E101" s="2"/>
      <c r="F101" s="2" t="s">
        <v>65</v>
      </c>
      <c r="G101" s="2" t="s">
        <v>2026</v>
      </c>
      <c r="H101" s="2" t="s">
        <v>66</v>
      </c>
      <c r="I101" s="2" t="s">
        <v>5</v>
      </c>
      <c r="J101" s="2" t="s">
        <v>1618</v>
      </c>
      <c r="K101" s="2" t="s">
        <v>67</v>
      </c>
      <c r="L101" s="22">
        <v>17349.86</v>
      </c>
      <c r="M101" s="22">
        <v>17349.86</v>
      </c>
      <c r="N101" s="2" t="s">
        <v>41</v>
      </c>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v>17349.86</v>
      </c>
      <c r="BV101" s="7"/>
      <c r="BW101" s="8">
        <v>45723</v>
      </c>
      <c r="BX101" s="2"/>
      <c r="BY101" s="2" t="s">
        <v>1800</v>
      </c>
      <c r="BZ101" s="2"/>
      <c r="CA101" s="14">
        <f>SUM(O101:BV101)</f>
        <v>17349.86</v>
      </c>
      <c r="CB101" s="2" t="str">
        <f>IF(M101=CA101,"OK","CORRIGIR")</f>
        <v>OK</v>
      </c>
      <c r="CC101" s="13">
        <f>M101-CA101</f>
        <v>0</v>
      </c>
    </row>
    <row r="102" spans="1:82" s="9" customFormat="1" ht="68.25" customHeight="1" x14ac:dyDescent="0.25">
      <c r="A102" s="2" t="s">
        <v>1347</v>
      </c>
      <c r="B102" s="2" t="s">
        <v>586</v>
      </c>
      <c r="C102" s="2" t="s">
        <v>562</v>
      </c>
      <c r="D102" s="12" t="s">
        <v>587</v>
      </c>
      <c r="E102" s="2"/>
      <c r="F102" s="2" t="s">
        <v>65</v>
      </c>
      <c r="G102" s="2" t="s">
        <v>2026</v>
      </c>
      <c r="H102" s="2" t="s">
        <v>66</v>
      </c>
      <c r="I102" s="2" t="s">
        <v>319</v>
      </c>
      <c r="J102" s="2" t="s">
        <v>1618</v>
      </c>
      <c r="K102" s="2" t="s">
        <v>67</v>
      </c>
      <c r="L102" s="22">
        <v>15709.78</v>
      </c>
      <c r="M102" s="22">
        <v>15709.78</v>
      </c>
      <c r="N102" s="2" t="s">
        <v>565</v>
      </c>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v>15709.78</v>
      </c>
      <c r="BB102" s="7"/>
      <c r="BC102" s="7"/>
      <c r="BD102" s="7"/>
      <c r="BE102" s="7"/>
      <c r="BF102" s="7"/>
      <c r="BG102" s="7"/>
      <c r="BH102" s="7"/>
      <c r="BI102" s="7"/>
      <c r="BJ102" s="7"/>
      <c r="BK102" s="7"/>
      <c r="BL102" s="7"/>
      <c r="BM102" s="7"/>
      <c r="BN102" s="7"/>
      <c r="BO102" s="7"/>
      <c r="BP102" s="7"/>
      <c r="BQ102" s="7"/>
      <c r="BR102" s="7"/>
      <c r="BS102" s="7"/>
      <c r="BT102" s="7"/>
      <c r="BU102" s="7"/>
      <c r="BV102" s="7"/>
      <c r="BW102" s="8">
        <v>45726</v>
      </c>
      <c r="BX102" s="2"/>
      <c r="BY102" s="2" t="s">
        <v>1798</v>
      </c>
      <c r="BZ102" s="2"/>
      <c r="CA102" s="14">
        <f>SUM(O102:BV102)</f>
        <v>15709.78</v>
      </c>
      <c r="CB102" s="2" t="str">
        <f>IF(M102=CA102,"OK","CORRIGIR")</f>
        <v>OK</v>
      </c>
      <c r="CC102" s="13">
        <f>M102-CA102</f>
        <v>0</v>
      </c>
    </row>
    <row r="103" spans="1:82" s="9" customFormat="1" ht="107.25" customHeight="1" x14ac:dyDescent="0.25">
      <c r="A103" s="2" t="s">
        <v>1244</v>
      </c>
      <c r="B103" s="2" t="s">
        <v>364</v>
      </c>
      <c r="C103" s="2" t="s">
        <v>350</v>
      </c>
      <c r="D103" s="12" t="s">
        <v>365</v>
      </c>
      <c r="E103" s="2"/>
      <c r="F103" s="2" t="s">
        <v>65</v>
      </c>
      <c r="G103" s="2" t="s">
        <v>2026</v>
      </c>
      <c r="H103" s="2" t="s">
        <v>66</v>
      </c>
      <c r="I103" s="2" t="s">
        <v>5</v>
      </c>
      <c r="J103" s="2">
        <v>48</v>
      </c>
      <c r="K103" s="2" t="s">
        <v>67</v>
      </c>
      <c r="L103" s="22">
        <v>24000</v>
      </c>
      <c r="M103" s="22">
        <v>24000</v>
      </c>
      <c r="N103" s="2" t="s">
        <v>44</v>
      </c>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v>24000</v>
      </c>
      <c r="BB103" s="7"/>
      <c r="BC103" s="7"/>
      <c r="BD103" s="7"/>
      <c r="BE103" s="7"/>
      <c r="BF103" s="7"/>
      <c r="BG103" s="7"/>
      <c r="BH103" s="7"/>
      <c r="BI103" s="7"/>
      <c r="BJ103" s="7"/>
      <c r="BK103" s="7"/>
      <c r="BL103" s="7"/>
      <c r="BM103" s="7"/>
      <c r="BN103" s="7"/>
      <c r="BO103" s="7"/>
      <c r="BP103" s="7"/>
      <c r="BQ103" s="7"/>
      <c r="BR103" s="7"/>
      <c r="BS103" s="7"/>
      <c r="BT103" s="7"/>
      <c r="BU103" s="7"/>
      <c r="BV103" s="7"/>
      <c r="BW103" s="8">
        <v>45810</v>
      </c>
      <c r="BX103" s="2"/>
      <c r="BY103" s="2" t="s">
        <v>1800</v>
      </c>
      <c r="BZ103" s="2"/>
      <c r="CA103" s="14">
        <f>SUM(O103:BV103)</f>
        <v>24000</v>
      </c>
      <c r="CB103" s="2" t="str">
        <f>IF(M103=CA103,"OK","CORRIGIR")</f>
        <v>OK</v>
      </c>
      <c r="CC103" s="13">
        <f>M103-CA103</f>
        <v>0</v>
      </c>
    </row>
    <row r="104" spans="1:82" s="9" customFormat="1" ht="106.5" customHeight="1" x14ac:dyDescent="0.25">
      <c r="A104" s="2" t="s">
        <v>1369</v>
      </c>
      <c r="B104" s="2" t="s">
        <v>642</v>
      </c>
      <c r="C104" s="2" t="s">
        <v>643</v>
      </c>
      <c r="D104" s="12" t="s">
        <v>644</v>
      </c>
      <c r="E104" s="2"/>
      <c r="F104" s="2" t="s">
        <v>72</v>
      </c>
      <c r="G104" s="2" t="s">
        <v>2026</v>
      </c>
      <c r="H104" s="2" t="s">
        <v>66</v>
      </c>
      <c r="I104" s="2" t="s">
        <v>5</v>
      </c>
      <c r="J104" s="2" t="s">
        <v>1618</v>
      </c>
      <c r="K104" s="2" t="s">
        <v>67</v>
      </c>
      <c r="L104" s="22">
        <v>95289.02</v>
      </c>
      <c r="M104" s="22">
        <v>95289.02</v>
      </c>
      <c r="N104" s="2" t="s">
        <v>20</v>
      </c>
      <c r="O104" s="7">
        <v>0</v>
      </c>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v>95289.02</v>
      </c>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8">
        <v>45810</v>
      </c>
      <c r="BX104" s="2"/>
      <c r="BY104" s="2" t="s">
        <v>1801</v>
      </c>
      <c r="BZ104" s="2"/>
      <c r="CA104" s="14"/>
      <c r="CB104" s="2"/>
      <c r="CC104" s="13"/>
    </row>
    <row r="105" spans="1:82" s="9" customFormat="1" ht="94.5" customHeight="1" x14ac:dyDescent="0.25">
      <c r="A105" s="2" t="s">
        <v>1554</v>
      </c>
      <c r="B105" s="2" t="s">
        <v>328</v>
      </c>
      <c r="C105" s="2" t="s">
        <v>274</v>
      </c>
      <c r="D105" s="12" t="s">
        <v>329</v>
      </c>
      <c r="E105" s="2"/>
      <c r="F105" s="2" t="s">
        <v>72</v>
      </c>
      <c r="G105" s="2" t="s">
        <v>2026</v>
      </c>
      <c r="H105" s="2" t="s">
        <v>66</v>
      </c>
      <c r="I105" s="2" t="s">
        <v>5</v>
      </c>
      <c r="J105" s="2" t="s">
        <v>1618</v>
      </c>
      <c r="K105" s="2" t="s">
        <v>67</v>
      </c>
      <c r="L105" s="22">
        <v>146028.35</v>
      </c>
      <c r="M105" s="22">
        <v>146028.35</v>
      </c>
      <c r="N105" s="2" t="s">
        <v>42</v>
      </c>
      <c r="O105" s="7">
        <v>0</v>
      </c>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v>146028.35</v>
      </c>
      <c r="BW105" s="8">
        <v>45839</v>
      </c>
      <c r="BX105" s="2"/>
      <c r="BY105" s="2" t="s">
        <v>1801</v>
      </c>
      <c r="BZ105" s="8" t="s">
        <v>1737</v>
      </c>
      <c r="CA105" s="14">
        <f>SUM(O105:BV105)</f>
        <v>146028.35</v>
      </c>
      <c r="CB105" s="2" t="str">
        <f>IF(M105=CA105,"OK","CORRIGIR")</f>
        <v>OK</v>
      </c>
      <c r="CC105" s="13">
        <f>M105-CA105</f>
        <v>0</v>
      </c>
      <c r="CD105" s="50"/>
    </row>
    <row r="106" spans="1:82" s="9" customFormat="1" ht="59.25" customHeight="1" x14ac:dyDescent="0.25">
      <c r="A106" s="2" t="s">
        <v>1341</v>
      </c>
      <c r="B106" s="2" t="s">
        <v>575</v>
      </c>
      <c r="C106" s="2" t="s">
        <v>562</v>
      </c>
      <c r="D106" s="12" t="s">
        <v>576</v>
      </c>
      <c r="E106" s="2" t="s">
        <v>577</v>
      </c>
      <c r="F106" s="2" t="s">
        <v>65</v>
      </c>
      <c r="G106" s="2" t="s">
        <v>2026</v>
      </c>
      <c r="H106" s="2" t="s">
        <v>66</v>
      </c>
      <c r="I106" s="2" t="s">
        <v>319</v>
      </c>
      <c r="J106" s="2" t="s">
        <v>1618</v>
      </c>
      <c r="K106" s="2" t="s">
        <v>67</v>
      </c>
      <c r="L106" s="22">
        <v>23329.47</v>
      </c>
      <c r="M106" s="22">
        <v>23329.47</v>
      </c>
      <c r="N106" s="2" t="s">
        <v>565</v>
      </c>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v>23329.47</v>
      </c>
      <c r="BB106" s="7"/>
      <c r="BC106" s="7"/>
      <c r="BD106" s="7"/>
      <c r="BE106" s="7"/>
      <c r="BF106" s="7"/>
      <c r="BG106" s="7"/>
      <c r="BH106" s="7"/>
      <c r="BI106" s="7"/>
      <c r="BJ106" s="7"/>
      <c r="BK106" s="7"/>
      <c r="BL106" s="7"/>
      <c r="BM106" s="7"/>
      <c r="BN106" s="7"/>
      <c r="BO106" s="7"/>
      <c r="BP106" s="7"/>
      <c r="BQ106" s="7"/>
      <c r="BR106" s="7"/>
      <c r="BS106" s="7"/>
      <c r="BT106" s="7"/>
      <c r="BU106" s="7"/>
      <c r="BV106" s="7"/>
      <c r="BW106" s="8">
        <v>45964</v>
      </c>
      <c r="BX106" s="8">
        <v>45673</v>
      </c>
      <c r="BY106" s="2" t="s">
        <v>1798</v>
      </c>
      <c r="BZ106" s="2"/>
      <c r="CA106" s="14">
        <f>SUM(O106:BV106)</f>
        <v>23329.47</v>
      </c>
      <c r="CB106" s="2" t="str">
        <f>IF(M106=CA106,"OK","CORRIGIR")</f>
        <v>OK</v>
      </c>
      <c r="CC106" s="13">
        <f>M106-CA106</f>
        <v>0</v>
      </c>
      <c r="CD106" s="50"/>
    </row>
    <row r="107" spans="1:82" s="9" customFormat="1" ht="60.75" customHeight="1" x14ac:dyDescent="0.25">
      <c r="A107" s="2" t="s">
        <v>1335</v>
      </c>
      <c r="B107" s="2" t="s">
        <v>561</v>
      </c>
      <c r="C107" s="2" t="s">
        <v>562</v>
      </c>
      <c r="D107" s="12" t="s">
        <v>563</v>
      </c>
      <c r="E107" s="2" t="s">
        <v>564</v>
      </c>
      <c r="F107" s="2" t="s">
        <v>65</v>
      </c>
      <c r="G107" s="2" t="s">
        <v>2026</v>
      </c>
      <c r="H107" s="2" t="s">
        <v>66</v>
      </c>
      <c r="I107" s="2" t="s">
        <v>319</v>
      </c>
      <c r="J107" s="2">
        <v>6</v>
      </c>
      <c r="K107" s="2" t="s">
        <v>67</v>
      </c>
      <c r="L107" s="22">
        <v>2813.61</v>
      </c>
      <c r="M107" s="22">
        <v>2813.61</v>
      </c>
      <c r="N107" s="2" t="s">
        <v>565</v>
      </c>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v>2813.61</v>
      </c>
      <c r="BB107" s="7"/>
      <c r="BC107" s="7"/>
      <c r="BD107" s="7"/>
      <c r="BE107" s="7"/>
      <c r="BF107" s="7"/>
      <c r="BG107" s="7"/>
      <c r="BH107" s="7"/>
      <c r="BI107" s="7"/>
      <c r="BJ107" s="7"/>
      <c r="BK107" s="7"/>
      <c r="BL107" s="7"/>
      <c r="BM107" s="7"/>
      <c r="BN107" s="7"/>
      <c r="BO107" s="7"/>
      <c r="BP107" s="7"/>
      <c r="BQ107" s="7"/>
      <c r="BR107" s="7"/>
      <c r="BS107" s="7"/>
      <c r="BT107" s="7"/>
      <c r="BU107" s="7"/>
      <c r="BV107" s="7"/>
      <c r="BW107" s="8">
        <v>45964</v>
      </c>
      <c r="BX107" s="2"/>
      <c r="BY107" s="2" t="s">
        <v>1800</v>
      </c>
      <c r="BZ107" s="2"/>
      <c r="CA107" s="14">
        <f>SUM(O107:BV107)</f>
        <v>2813.61</v>
      </c>
      <c r="CB107" s="2" t="str">
        <f>IF(M107=CA107,"OK","CORRIGIR")</f>
        <v>OK</v>
      </c>
      <c r="CC107" s="13">
        <f>M107-CA107</f>
        <v>0</v>
      </c>
      <c r="CD107" s="50"/>
    </row>
    <row r="108" spans="1:82" s="9" customFormat="1" ht="78.75" customHeight="1" x14ac:dyDescent="0.25">
      <c r="A108" s="64" t="s">
        <v>1935</v>
      </c>
      <c r="B108" s="64" t="s">
        <v>1943</v>
      </c>
      <c r="C108" s="64" t="s">
        <v>1048</v>
      </c>
      <c r="D108" s="65" t="s">
        <v>1932</v>
      </c>
      <c r="E108" s="1"/>
      <c r="F108" s="64" t="s">
        <v>1933</v>
      </c>
      <c r="G108" s="64" t="s">
        <v>1680</v>
      </c>
      <c r="H108" s="64" t="s">
        <v>66</v>
      </c>
      <c r="I108" s="64" t="s">
        <v>5</v>
      </c>
      <c r="J108" s="64">
        <v>1</v>
      </c>
      <c r="K108" s="82" t="s">
        <v>67</v>
      </c>
      <c r="L108" s="68">
        <v>18450</v>
      </c>
      <c r="M108" s="68">
        <v>18450</v>
      </c>
      <c r="N108" s="64" t="s">
        <v>1934</v>
      </c>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67">
        <v>45670</v>
      </c>
      <c r="BX108" s="1"/>
      <c r="BY108" s="64" t="s">
        <v>1798</v>
      </c>
      <c r="BZ108" s="8"/>
      <c r="CA108" s="14">
        <f>SUM(O108:BV108)</f>
        <v>0</v>
      </c>
      <c r="CB108" s="2" t="str">
        <f>IF(M108=CA108,"OK","CORRIGIR")</f>
        <v>CORRIGIR</v>
      </c>
      <c r="CC108" s="13">
        <f>M108-CA108</f>
        <v>18450</v>
      </c>
    </row>
    <row r="109" spans="1:82" s="9" customFormat="1" ht="67.5" customHeight="1" x14ac:dyDescent="0.25">
      <c r="A109" s="2" t="s">
        <v>1499</v>
      </c>
      <c r="B109" s="2" t="s">
        <v>744</v>
      </c>
      <c r="C109" s="2" t="s">
        <v>681</v>
      </c>
      <c r="D109" s="12" t="s">
        <v>745</v>
      </c>
      <c r="E109" s="2"/>
      <c r="F109" s="2" t="s">
        <v>65</v>
      </c>
      <c r="G109" s="2" t="s">
        <v>1680</v>
      </c>
      <c r="H109" s="2" t="s">
        <v>66</v>
      </c>
      <c r="I109" s="2" t="s">
        <v>1618</v>
      </c>
      <c r="J109" s="2" t="s">
        <v>1618</v>
      </c>
      <c r="K109" s="2" t="s">
        <v>67</v>
      </c>
      <c r="L109" s="22">
        <v>18675</v>
      </c>
      <c r="M109" s="22">
        <v>18675</v>
      </c>
      <c r="N109" s="2" t="s">
        <v>14</v>
      </c>
      <c r="O109" s="7">
        <v>0</v>
      </c>
      <c r="P109" s="7"/>
      <c r="Q109" s="7"/>
      <c r="R109" s="7"/>
      <c r="S109" s="7"/>
      <c r="T109" s="7"/>
      <c r="U109" s="7"/>
      <c r="V109" s="7"/>
      <c r="W109" s="7"/>
      <c r="X109" s="7"/>
      <c r="Y109" s="7"/>
      <c r="Z109" s="7"/>
      <c r="AA109" s="7">
        <v>18675</v>
      </c>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8">
        <v>45730</v>
      </c>
      <c r="BX109" s="2"/>
      <c r="BY109" s="2" t="s">
        <v>1800</v>
      </c>
      <c r="BZ109" s="2"/>
      <c r="CA109" s="14">
        <f>SUM(O109:BV109)</f>
        <v>18675</v>
      </c>
      <c r="CB109" s="2" t="str">
        <f>IF(M109=CA109,"OK","CORRIGIR")</f>
        <v>OK</v>
      </c>
      <c r="CC109" s="13">
        <f>M109-CA109</f>
        <v>0</v>
      </c>
    </row>
    <row r="110" spans="1:82" s="9" customFormat="1" ht="60.75" customHeight="1" x14ac:dyDescent="0.25">
      <c r="A110" s="2" t="s">
        <v>1630</v>
      </c>
      <c r="B110" s="3" t="s">
        <v>1623</v>
      </c>
      <c r="C110" s="2" t="s">
        <v>1048</v>
      </c>
      <c r="D110" s="34" t="s">
        <v>1624</v>
      </c>
      <c r="E110" s="2"/>
      <c r="F110" s="2" t="s">
        <v>1692</v>
      </c>
      <c r="G110" s="2" t="s">
        <v>2027</v>
      </c>
      <c r="H110" s="2" t="s">
        <v>66</v>
      </c>
      <c r="I110" s="2" t="s">
        <v>5</v>
      </c>
      <c r="J110" s="2" t="s">
        <v>1614</v>
      </c>
      <c r="K110" s="2" t="s">
        <v>67</v>
      </c>
      <c r="L110" s="17">
        <v>150000</v>
      </c>
      <c r="M110" s="17">
        <v>150000</v>
      </c>
      <c r="N110" s="2" t="s">
        <v>14</v>
      </c>
      <c r="O110" s="7"/>
      <c r="P110" s="7"/>
      <c r="Q110" s="7"/>
      <c r="R110" s="7"/>
      <c r="S110" s="7"/>
      <c r="T110" s="7"/>
      <c r="U110" s="7"/>
      <c r="V110" s="7"/>
      <c r="W110" s="7"/>
      <c r="X110" s="7"/>
      <c r="Y110" s="7"/>
      <c r="Z110" s="7"/>
      <c r="AA110" s="28">
        <v>150000</v>
      </c>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8">
        <v>45777</v>
      </c>
      <c r="BX110" s="2"/>
      <c r="BY110" s="2" t="s">
        <v>1800</v>
      </c>
      <c r="BZ110" s="2"/>
      <c r="CA110" s="14"/>
      <c r="CB110" s="2"/>
      <c r="CC110" s="13"/>
    </row>
    <row r="111" spans="1:82" s="9" customFormat="1" ht="60" customHeight="1" x14ac:dyDescent="0.25">
      <c r="A111" s="2" t="s">
        <v>1438</v>
      </c>
      <c r="B111" s="2" t="s">
        <v>738</v>
      </c>
      <c r="C111" s="2" t="s">
        <v>681</v>
      </c>
      <c r="D111" s="12" t="s">
        <v>739</v>
      </c>
      <c r="E111" s="2"/>
      <c r="F111" s="2" t="s">
        <v>72</v>
      </c>
      <c r="G111" s="2" t="s">
        <v>1680</v>
      </c>
      <c r="H111" s="2" t="s">
        <v>66</v>
      </c>
      <c r="I111" s="2" t="s">
        <v>5</v>
      </c>
      <c r="J111" s="2" t="s">
        <v>1618</v>
      </c>
      <c r="K111" s="2" t="s">
        <v>67</v>
      </c>
      <c r="L111" s="22">
        <v>276782.5</v>
      </c>
      <c r="M111" s="22">
        <v>276782.5</v>
      </c>
      <c r="N111" s="2" t="s">
        <v>14</v>
      </c>
      <c r="O111" s="7">
        <v>0</v>
      </c>
      <c r="P111" s="7"/>
      <c r="Q111" s="7"/>
      <c r="R111" s="7"/>
      <c r="S111" s="7"/>
      <c r="T111" s="7"/>
      <c r="U111" s="7"/>
      <c r="V111" s="7"/>
      <c r="W111" s="7"/>
      <c r="X111" s="7"/>
      <c r="Y111" s="7"/>
      <c r="Z111" s="7"/>
      <c r="AA111" s="7">
        <v>276782.5</v>
      </c>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8">
        <v>45777</v>
      </c>
      <c r="BX111" s="2"/>
      <c r="BY111" s="2" t="s">
        <v>1799</v>
      </c>
      <c r="BZ111" s="2"/>
      <c r="CA111" s="14">
        <f t="shared" ref="CA111:CA142" si="15">SUM(O111:BV111)</f>
        <v>276782.5</v>
      </c>
      <c r="CB111" s="2" t="str">
        <f t="shared" ref="CB111:CB142" si="16">IF(M111=CA111,"OK","CORRIGIR")</f>
        <v>OK</v>
      </c>
      <c r="CC111" s="13">
        <f t="shared" ref="CC111:CC142" si="17">M111-CA111</f>
        <v>0</v>
      </c>
    </row>
    <row r="112" spans="1:82" s="9" customFormat="1" ht="60" customHeight="1" x14ac:dyDescent="0.25">
      <c r="A112" s="2" t="s">
        <v>1483</v>
      </c>
      <c r="B112" s="2" t="s">
        <v>910</v>
      </c>
      <c r="C112" s="2" t="s">
        <v>681</v>
      </c>
      <c r="D112" s="12" t="s">
        <v>1827</v>
      </c>
      <c r="E112" s="2"/>
      <c r="F112" s="2" t="s">
        <v>72</v>
      </c>
      <c r="G112" s="2" t="s">
        <v>1680</v>
      </c>
      <c r="H112" s="2" t="s">
        <v>66</v>
      </c>
      <c r="I112" s="2" t="s">
        <v>1618</v>
      </c>
      <c r="J112" s="2" t="s">
        <v>1618</v>
      </c>
      <c r="K112" s="2" t="s">
        <v>67</v>
      </c>
      <c r="L112" s="22">
        <v>42430</v>
      </c>
      <c r="M112" s="22">
        <v>42430</v>
      </c>
      <c r="N112" s="2" t="s">
        <v>14</v>
      </c>
      <c r="O112" s="7"/>
      <c r="P112" s="7"/>
      <c r="Q112" s="7"/>
      <c r="R112" s="7"/>
      <c r="S112" s="7"/>
      <c r="T112" s="7"/>
      <c r="U112" s="7"/>
      <c r="V112" s="7"/>
      <c r="W112" s="7"/>
      <c r="X112" s="7"/>
      <c r="Y112" s="7"/>
      <c r="Z112" s="7"/>
      <c r="AA112" s="7">
        <v>42430</v>
      </c>
      <c r="AB112" s="7">
        <v>0</v>
      </c>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8">
        <v>45777</v>
      </c>
      <c r="BX112" s="2"/>
      <c r="BY112" s="2" t="s">
        <v>1798</v>
      </c>
      <c r="BZ112" s="8" t="s">
        <v>1738</v>
      </c>
      <c r="CA112" s="14">
        <f t="shared" si="15"/>
        <v>42430</v>
      </c>
      <c r="CB112" s="2" t="str">
        <f t="shared" si="16"/>
        <v>OK</v>
      </c>
      <c r="CC112" s="13">
        <f t="shared" si="17"/>
        <v>0</v>
      </c>
    </row>
    <row r="113" spans="1:81" s="9" customFormat="1" ht="54.75" customHeight="1" x14ac:dyDescent="0.25">
      <c r="A113" s="2" t="s">
        <v>1535</v>
      </c>
      <c r="B113" s="2" t="s">
        <v>691</v>
      </c>
      <c r="C113" s="2" t="s">
        <v>681</v>
      </c>
      <c r="D113" s="12" t="s">
        <v>692</v>
      </c>
      <c r="E113" s="2"/>
      <c r="F113" s="2" t="s">
        <v>65</v>
      </c>
      <c r="G113" s="2" t="s">
        <v>2027</v>
      </c>
      <c r="H113" s="2" t="s">
        <v>66</v>
      </c>
      <c r="I113" s="2" t="s">
        <v>5</v>
      </c>
      <c r="J113" s="2">
        <v>1</v>
      </c>
      <c r="K113" s="2" t="s">
        <v>67</v>
      </c>
      <c r="L113" s="22">
        <v>2100</v>
      </c>
      <c r="M113" s="22">
        <v>2100</v>
      </c>
      <c r="N113" s="2" t="s">
        <v>14</v>
      </c>
      <c r="O113" s="7">
        <v>0</v>
      </c>
      <c r="P113" s="7"/>
      <c r="Q113" s="7"/>
      <c r="R113" s="7"/>
      <c r="S113" s="7"/>
      <c r="T113" s="7"/>
      <c r="U113" s="7"/>
      <c r="V113" s="7"/>
      <c r="W113" s="7"/>
      <c r="X113" s="7"/>
      <c r="Y113" s="7"/>
      <c r="Z113" s="7"/>
      <c r="AA113" s="7">
        <v>2100</v>
      </c>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8">
        <v>45796</v>
      </c>
      <c r="BX113" s="2"/>
      <c r="BY113" s="2" t="s">
        <v>1798</v>
      </c>
      <c r="BZ113" s="2"/>
      <c r="CA113" s="14">
        <f t="shared" si="15"/>
        <v>2100</v>
      </c>
      <c r="CB113" s="2" t="str">
        <f t="shared" si="16"/>
        <v>OK</v>
      </c>
      <c r="CC113" s="13">
        <f t="shared" si="17"/>
        <v>0</v>
      </c>
    </row>
    <row r="114" spans="1:81" s="9" customFormat="1" ht="53.25" customHeight="1" x14ac:dyDescent="0.25">
      <c r="A114" s="64" t="s">
        <v>1474</v>
      </c>
      <c r="B114" s="2" t="s">
        <v>684</v>
      </c>
      <c r="C114" s="64" t="s">
        <v>681</v>
      </c>
      <c r="D114" s="65" t="s">
        <v>685</v>
      </c>
      <c r="E114" s="2"/>
      <c r="F114" s="64" t="s">
        <v>72</v>
      </c>
      <c r="G114" s="64" t="s">
        <v>1680</v>
      </c>
      <c r="H114" s="64" t="s">
        <v>66</v>
      </c>
      <c r="I114" s="64" t="s">
        <v>686</v>
      </c>
      <c r="J114" s="64">
        <v>1</v>
      </c>
      <c r="K114" s="64" t="s">
        <v>67</v>
      </c>
      <c r="L114" s="66">
        <f>62700+77040</f>
        <v>139740</v>
      </c>
      <c r="M114" s="66">
        <f>62700+77040</f>
        <v>139740</v>
      </c>
      <c r="N114" s="64" t="s">
        <v>14</v>
      </c>
      <c r="O114" s="7">
        <v>0</v>
      </c>
      <c r="P114" s="7"/>
      <c r="Q114" s="7"/>
      <c r="R114" s="7"/>
      <c r="S114" s="7"/>
      <c r="T114" s="7"/>
      <c r="U114" s="7"/>
      <c r="V114" s="7"/>
      <c r="W114" s="7"/>
      <c r="X114" s="7"/>
      <c r="Y114" s="7"/>
      <c r="Z114" s="7"/>
      <c r="AA114" s="7">
        <v>62700</v>
      </c>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67">
        <v>45807</v>
      </c>
      <c r="BX114" s="2"/>
      <c r="BY114" s="64" t="s">
        <v>1801</v>
      </c>
      <c r="BZ114" s="2"/>
      <c r="CA114" s="14">
        <f t="shared" si="15"/>
        <v>62700</v>
      </c>
      <c r="CB114" s="2" t="str">
        <f t="shared" si="16"/>
        <v>CORRIGIR</v>
      </c>
      <c r="CC114" s="13">
        <f t="shared" si="17"/>
        <v>77040</v>
      </c>
    </row>
    <row r="115" spans="1:81" s="9" customFormat="1" ht="55.5" customHeight="1" x14ac:dyDescent="0.25">
      <c r="A115" s="2" t="s">
        <v>1454</v>
      </c>
      <c r="B115" s="2" t="s">
        <v>1104</v>
      </c>
      <c r="C115" s="2" t="s">
        <v>681</v>
      </c>
      <c r="D115" s="12" t="s">
        <v>1105</v>
      </c>
      <c r="E115" s="2"/>
      <c r="F115" s="2" t="s">
        <v>72</v>
      </c>
      <c r="G115" s="2" t="s">
        <v>2027</v>
      </c>
      <c r="H115" s="2" t="s">
        <v>66</v>
      </c>
      <c r="I115" s="15" t="s">
        <v>5</v>
      </c>
      <c r="J115" s="15" t="s">
        <v>1618</v>
      </c>
      <c r="K115" s="2" t="s">
        <v>67</v>
      </c>
      <c r="L115" s="22">
        <v>122500.5</v>
      </c>
      <c r="M115" s="22">
        <v>122500.5</v>
      </c>
      <c r="N115" s="2" t="s">
        <v>14</v>
      </c>
      <c r="O115" s="7"/>
      <c r="P115" s="7"/>
      <c r="Q115" s="7"/>
      <c r="R115" s="7"/>
      <c r="S115" s="7"/>
      <c r="T115" s="7"/>
      <c r="U115" s="7">
        <v>0</v>
      </c>
      <c r="V115" s="7"/>
      <c r="W115" s="7"/>
      <c r="X115" s="7"/>
      <c r="Y115" s="7"/>
      <c r="Z115" s="7"/>
      <c r="AA115" s="7">
        <v>122500.5</v>
      </c>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8">
        <v>45824</v>
      </c>
      <c r="BX115" s="15"/>
      <c r="BY115" s="15" t="s">
        <v>1801</v>
      </c>
      <c r="BZ115" s="2"/>
      <c r="CA115" s="14">
        <f t="shared" si="15"/>
        <v>122500.5</v>
      </c>
      <c r="CB115" s="2" t="str">
        <f t="shared" si="16"/>
        <v>OK</v>
      </c>
      <c r="CC115" s="13">
        <f t="shared" si="17"/>
        <v>0</v>
      </c>
    </row>
    <row r="116" spans="1:81" s="9" customFormat="1" ht="54" customHeight="1" x14ac:dyDescent="0.25">
      <c r="A116" s="2" t="s">
        <v>1455</v>
      </c>
      <c r="B116" s="2" t="s">
        <v>817</v>
      </c>
      <c r="C116" s="2" t="s">
        <v>681</v>
      </c>
      <c r="D116" s="12" t="s">
        <v>818</v>
      </c>
      <c r="E116" s="2"/>
      <c r="F116" s="2" t="s">
        <v>72</v>
      </c>
      <c r="G116" s="2" t="s">
        <v>2027</v>
      </c>
      <c r="H116" s="2" t="s">
        <v>66</v>
      </c>
      <c r="I116" s="2" t="s">
        <v>5</v>
      </c>
      <c r="J116" s="2" t="s">
        <v>1618</v>
      </c>
      <c r="K116" s="2" t="s">
        <v>67</v>
      </c>
      <c r="L116" s="22">
        <v>121900</v>
      </c>
      <c r="M116" s="22">
        <v>121900</v>
      </c>
      <c r="N116" s="2" t="s">
        <v>14</v>
      </c>
      <c r="O116" s="7">
        <v>0</v>
      </c>
      <c r="P116" s="7"/>
      <c r="Q116" s="7"/>
      <c r="R116" s="7"/>
      <c r="S116" s="7"/>
      <c r="T116" s="7"/>
      <c r="U116" s="7"/>
      <c r="V116" s="7"/>
      <c r="W116" s="7"/>
      <c r="X116" s="7"/>
      <c r="Y116" s="7"/>
      <c r="Z116" s="7"/>
      <c r="AA116" s="7">
        <v>121900</v>
      </c>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8">
        <v>45824</v>
      </c>
      <c r="BX116" s="2"/>
      <c r="BY116" s="2" t="s">
        <v>1800</v>
      </c>
      <c r="BZ116" s="2"/>
      <c r="CA116" s="14">
        <f t="shared" si="15"/>
        <v>121900</v>
      </c>
      <c r="CB116" s="2" t="str">
        <f t="shared" si="16"/>
        <v>OK</v>
      </c>
      <c r="CC116" s="13">
        <f t="shared" si="17"/>
        <v>0</v>
      </c>
    </row>
    <row r="117" spans="1:81" s="9" customFormat="1" ht="61.5" customHeight="1" x14ac:dyDescent="0.25">
      <c r="A117" s="2" t="s">
        <v>1402</v>
      </c>
      <c r="B117" s="2" t="s">
        <v>1119</v>
      </c>
      <c r="C117" s="2" t="s">
        <v>715</v>
      </c>
      <c r="D117" s="12" t="s">
        <v>1625</v>
      </c>
      <c r="E117" s="2"/>
      <c r="F117" s="2" t="s">
        <v>72</v>
      </c>
      <c r="G117" s="2" t="s">
        <v>1680</v>
      </c>
      <c r="H117" s="2" t="s">
        <v>66</v>
      </c>
      <c r="I117" s="2" t="s">
        <v>1618</v>
      </c>
      <c r="J117" s="2" t="s">
        <v>1618</v>
      </c>
      <c r="K117" s="2" t="s">
        <v>67</v>
      </c>
      <c r="L117" s="22">
        <v>70000</v>
      </c>
      <c r="M117" s="22">
        <v>70000</v>
      </c>
      <c r="N117" s="2" t="s">
        <v>1807</v>
      </c>
      <c r="O117" s="7"/>
      <c r="P117" s="7"/>
      <c r="Q117" s="7"/>
      <c r="R117" s="7"/>
      <c r="S117" s="7"/>
      <c r="T117" s="7"/>
      <c r="U117" s="7"/>
      <c r="V117" s="7"/>
      <c r="W117" s="7"/>
      <c r="X117" s="7"/>
      <c r="Y117" s="7"/>
      <c r="Z117" s="7"/>
      <c r="AA117" s="7"/>
      <c r="AB117" s="7"/>
      <c r="AC117" s="7"/>
      <c r="AD117" s="7"/>
      <c r="AE117" s="7"/>
      <c r="AF117" s="7"/>
      <c r="AG117" s="7"/>
      <c r="AH117" s="7"/>
      <c r="AI117" s="7">
        <v>70000</v>
      </c>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8">
        <v>45870</v>
      </c>
      <c r="BX117" s="2"/>
      <c r="BY117" s="2" t="s">
        <v>1799</v>
      </c>
      <c r="BZ117" s="2"/>
      <c r="CA117" s="14">
        <f t="shared" si="15"/>
        <v>70000</v>
      </c>
      <c r="CB117" s="2" t="str">
        <f t="shared" si="16"/>
        <v>OK</v>
      </c>
      <c r="CC117" s="13">
        <f t="shared" si="17"/>
        <v>0</v>
      </c>
    </row>
    <row r="118" spans="1:81" s="9" customFormat="1" ht="94.5" customHeight="1" x14ac:dyDescent="0.25">
      <c r="A118" s="2" t="s">
        <v>1482</v>
      </c>
      <c r="B118" s="2" t="s">
        <v>689</v>
      </c>
      <c r="C118" s="2" t="s">
        <v>681</v>
      </c>
      <c r="D118" s="12" t="s">
        <v>690</v>
      </c>
      <c r="E118" s="2"/>
      <c r="F118" s="2" t="s">
        <v>72</v>
      </c>
      <c r="G118" s="2" t="s">
        <v>1680</v>
      </c>
      <c r="H118" s="2" t="s">
        <v>66</v>
      </c>
      <c r="I118" s="2" t="s">
        <v>5</v>
      </c>
      <c r="J118" s="2" t="s">
        <v>1618</v>
      </c>
      <c r="K118" s="2" t="s">
        <v>67</v>
      </c>
      <c r="L118" s="22">
        <v>44834.2</v>
      </c>
      <c r="M118" s="22">
        <v>44834.2</v>
      </c>
      <c r="N118" s="2" t="s">
        <v>14</v>
      </c>
      <c r="O118" s="7">
        <v>0</v>
      </c>
      <c r="P118" s="7"/>
      <c r="Q118" s="7"/>
      <c r="R118" s="7"/>
      <c r="S118" s="7"/>
      <c r="T118" s="7"/>
      <c r="U118" s="7"/>
      <c r="V118" s="7"/>
      <c r="W118" s="7"/>
      <c r="X118" s="7"/>
      <c r="Y118" s="7"/>
      <c r="Z118" s="7"/>
      <c r="AA118" s="7">
        <v>44834.2</v>
      </c>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8">
        <v>45887</v>
      </c>
      <c r="BX118" s="2"/>
      <c r="BY118" s="2" t="s">
        <v>1798</v>
      </c>
      <c r="BZ118" s="2"/>
      <c r="CA118" s="14">
        <f t="shared" si="15"/>
        <v>44834.2</v>
      </c>
      <c r="CB118" s="2" t="str">
        <f t="shared" si="16"/>
        <v>OK</v>
      </c>
      <c r="CC118" s="13">
        <f t="shared" si="17"/>
        <v>0</v>
      </c>
    </row>
    <row r="119" spans="1:81" s="9" customFormat="1" ht="60.75" customHeight="1" x14ac:dyDescent="0.25">
      <c r="A119" s="2" t="s">
        <v>1459</v>
      </c>
      <c r="B119" s="2" t="s">
        <v>988</v>
      </c>
      <c r="C119" s="2" t="s">
        <v>681</v>
      </c>
      <c r="D119" s="12" t="s">
        <v>989</v>
      </c>
      <c r="E119" s="2"/>
      <c r="F119" s="2" t="s">
        <v>72</v>
      </c>
      <c r="G119" s="2" t="s">
        <v>1680</v>
      </c>
      <c r="H119" s="2" t="s">
        <v>66</v>
      </c>
      <c r="I119" s="2" t="s">
        <v>1618</v>
      </c>
      <c r="J119" s="2" t="s">
        <v>1618</v>
      </c>
      <c r="K119" s="2" t="s">
        <v>67</v>
      </c>
      <c r="L119" s="22">
        <v>105439.99</v>
      </c>
      <c r="M119" s="22">
        <v>105439.99</v>
      </c>
      <c r="N119" s="2" t="s">
        <v>14</v>
      </c>
      <c r="O119" s="7"/>
      <c r="P119" s="7"/>
      <c r="Q119" s="7"/>
      <c r="R119" s="7"/>
      <c r="S119" s="7"/>
      <c r="T119" s="7"/>
      <c r="U119" s="7"/>
      <c r="V119" s="7"/>
      <c r="W119" s="7"/>
      <c r="X119" s="7"/>
      <c r="Y119" s="7"/>
      <c r="Z119" s="7"/>
      <c r="AA119" s="7">
        <v>105439.99</v>
      </c>
      <c r="AB119" s="7">
        <v>0</v>
      </c>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8">
        <v>45900</v>
      </c>
      <c r="BX119" s="2"/>
      <c r="BY119" s="2" t="s">
        <v>1799</v>
      </c>
      <c r="BZ119" s="2"/>
      <c r="CA119" s="14">
        <f t="shared" si="15"/>
        <v>105439.99</v>
      </c>
      <c r="CB119" s="2" t="str">
        <f t="shared" si="16"/>
        <v>OK</v>
      </c>
      <c r="CC119" s="13">
        <f t="shared" si="17"/>
        <v>0</v>
      </c>
    </row>
    <row r="120" spans="1:81" s="9" customFormat="1" ht="51.75" customHeight="1" x14ac:dyDescent="0.25">
      <c r="A120" s="2" t="s">
        <v>1437</v>
      </c>
      <c r="B120" s="2" t="s">
        <v>694</v>
      </c>
      <c r="C120" s="2" t="s">
        <v>681</v>
      </c>
      <c r="D120" s="12" t="s">
        <v>695</v>
      </c>
      <c r="E120" s="2"/>
      <c r="F120" s="2" t="s">
        <v>72</v>
      </c>
      <c r="G120" s="2" t="s">
        <v>2027</v>
      </c>
      <c r="H120" s="2" t="s">
        <v>66</v>
      </c>
      <c r="I120" s="2" t="s">
        <v>5</v>
      </c>
      <c r="J120" s="23">
        <v>2500</v>
      </c>
      <c r="K120" s="2" t="s">
        <v>67</v>
      </c>
      <c r="L120" s="22">
        <v>283400</v>
      </c>
      <c r="M120" s="22">
        <v>283400</v>
      </c>
      <c r="N120" s="2" t="s">
        <v>14</v>
      </c>
      <c r="O120" s="7">
        <v>0</v>
      </c>
      <c r="P120" s="7"/>
      <c r="Q120" s="7"/>
      <c r="R120" s="7"/>
      <c r="S120" s="7"/>
      <c r="T120" s="7"/>
      <c r="U120" s="7"/>
      <c r="V120" s="7"/>
      <c r="W120" s="7"/>
      <c r="X120" s="7"/>
      <c r="Y120" s="7"/>
      <c r="Z120" s="7"/>
      <c r="AA120" s="7">
        <v>283400</v>
      </c>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8">
        <v>45909</v>
      </c>
      <c r="BX120" s="2"/>
      <c r="BY120" s="2" t="s">
        <v>1801</v>
      </c>
      <c r="BZ120" s="2"/>
      <c r="CA120" s="14">
        <f t="shared" si="15"/>
        <v>283400</v>
      </c>
      <c r="CB120" s="2" t="str">
        <f t="shared" si="16"/>
        <v>OK</v>
      </c>
      <c r="CC120" s="13">
        <f t="shared" si="17"/>
        <v>0</v>
      </c>
    </row>
    <row r="121" spans="1:81" s="9" customFormat="1" ht="171.75" customHeight="1" x14ac:dyDescent="0.25">
      <c r="A121" s="64" t="s">
        <v>2039</v>
      </c>
      <c r="B121" s="2"/>
      <c r="C121" s="64" t="s">
        <v>681</v>
      </c>
      <c r="D121" s="65" t="s">
        <v>2040</v>
      </c>
      <c r="E121" s="2"/>
      <c r="F121" s="64" t="s">
        <v>65</v>
      </c>
      <c r="G121" s="64" t="s">
        <v>2027</v>
      </c>
      <c r="H121" s="64" t="s">
        <v>66</v>
      </c>
      <c r="I121" s="64" t="s">
        <v>1618</v>
      </c>
      <c r="J121" s="81" t="s">
        <v>1618</v>
      </c>
      <c r="K121" s="64" t="s">
        <v>67</v>
      </c>
      <c r="L121" s="66">
        <v>16900</v>
      </c>
      <c r="M121" s="66">
        <v>3014.87</v>
      </c>
      <c r="N121" s="64" t="s">
        <v>14</v>
      </c>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67">
        <v>45930</v>
      </c>
      <c r="BX121" s="2"/>
      <c r="BY121" s="83" t="s">
        <v>1800</v>
      </c>
      <c r="BZ121" s="1" t="s">
        <v>1701</v>
      </c>
      <c r="CA121" s="14">
        <f t="shared" si="15"/>
        <v>0</v>
      </c>
      <c r="CB121" s="2" t="str">
        <f t="shared" si="16"/>
        <v>CORRIGIR</v>
      </c>
      <c r="CC121" s="13">
        <f t="shared" si="17"/>
        <v>3014.87</v>
      </c>
    </row>
    <row r="122" spans="1:81" s="9" customFormat="1" ht="56.25" customHeight="1" x14ac:dyDescent="0.25">
      <c r="A122" s="2" t="s">
        <v>1452</v>
      </c>
      <c r="B122" s="2" t="s">
        <v>766</v>
      </c>
      <c r="C122" s="2" t="s">
        <v>681</v>
      </c>
      <c r="D122" s="12" t="s">
        <v>1147</v>
      </c>
      <c r="E122" s="2"/>
      <c r="F122" s="2" t="s">
        <v>72</v>
      </c>
      <c r="G122" s="2" t="s">
        <v>2027</v>
      </c>
      <c r="H122" s="2" t="s">
        <v>66</v>
      </c>
      <c r="I122" s="2" t="s">
        <v>5</v>
      </c>
      <c r="J122" s="2" t="s">
        <v>1618</v>
      </c>
      <c r="K122" s="2" t="s">
        <v>67</v>
      </c>
      <c r="L122" s="22">
        <v>130904.53</v>
      </c>
      <c r="M122" s="22">
        <v>130904.53</v>
      </c>
      <c r="N122" s="2" t="s">
        <v>14</v>
      </c>
      <c r="O122" s="7"/>
      <c r="P122" s="7"/>
      <c r="Q122" s="7"/>
      <c r="R122" s="7"/>
      <c r="S122" s="7"/>
      <c r="T122" s="7"/>
      <c r="U122" s="7"/>
      <c r="V122" s="7"/>
      <c r="W122" s="7"/>
      <c r="X122" s="7"/>
      <c r="Y122" s="7"/>
      <c r="Z122" s="7"/>
      <c r="AA122" s="7">
        <f>M122</f>
        <v>130904.53</v>
      </c>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8">
        <v>45936</v>
      </c>
      <c r="BX122" s="2"/>
      <c r="BY122" s="2" t="s">
        <v>1801</v>
      </c>
      <c r="BZ122" s="2" t="s">
        <v>1703</v>
      </c>
      <c r="CA122" s="14">
        <f t="shared" si="15"/>
        <v>130904.53</v>
      </c>
      <c r="CB122" s="2" t="str">
        <f t="shared" si="16"/>
        <v>OK</v>
      </c>
      <c r="CC122" s="13">
        <f t="shared" si="17"/>
        <v>0</v>
      </c>
    </row>
    <row r="123" spans="1:81" s="9" customFormat="1" ht="54" customHeight="1" x14ac:dyDescent="0.25">
      <c r="A123" s="2" t="s">
        <v>1476</v>
      </c>
      <c r="B123" s="2" t="s">
        <v>696</v>
      </c>
      <c r="C123" s="2" t="s">
        <v>681</v>
      </c>
      <c r="D123" s="12" t="s">
        <v>697</v>
      </c>
      <c r="E123" s="2"/>
      <c r="F123" s="2" t="s">
        <v>72</v>
      </c>
      <c r="G123" s="2" t="s">
        <v>2027</v>
      </c>
      <c r="H123" s="2" t="s">
        <v>66</v>
      </c>
      <c r="I123" s="2" t="s">
        <v>1618</v>
      </c>
      <c r="J123" s="2" t="s">
        <v>1618</v>
      </c>
      <c r="K123" s="2" t="s">
        <v>67</v>
      </c>
      <c r="L123" s="22">
        <v>58639.22</v>
      </c>
      <c r="M123" s="22">
        <v>58639.22</v>
      </c>
      <c r="N123" s="2" t="s">
        <v>14</v>
      </c>
      <c r="O123" s="7">
        <v>0</v>
      </c>
      <c r="P123" s="7"/>
      <c r="Q123" s="7"/>
      <c r="R123" s="7"/>
      <c r="S123" s="7"/>
      <c r="T123" s="7"/>
      <c r="U123" s="7"/>
      <c r="V123" s="7"/>
      <c r="W123" s="7"/>
      <c r="X123" s="7"/>
      <c r="Y123" s="7"/>
      <c r="Z123" s="7"/>
      <c r="AA123" s="7">
        <f>M123</f>
        <v>58639.22</v>
      </c>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8">
        <v>45950</v>
      </c>
      <c r="BX123" s="2"/>
      <c r="BY123" s="2" t="s">
        <v>1799</v>
      </c>
      <c r="BZ123" s="2" t="s">
        <v>1703</v>
      </c>
      <c r="CA123" s="14">
        <f t="shared" si="15"/>
        <v>58639.22</v>
      </c>
      <c r="CB123" s="2" t="str">
        <f t="shared" si="16"/>
        <v>OK</v>
      </c>
      <c r="CC123" s="13">
        <f t="shared" si="17"/>
        <v>0</v>
      </c>
    </row>
    <row r="124" spans="1:81" s="9" customFormat="1" ht="75.75" customHeight="1" x14ac:dyDescent="0.25">
      <c r="A124" s="2" t="s">
        <v>1497</v>
      </c>
      <c r="B124" s="2" t="s">
        <v>789</v>
      </c>
      <c r="C124" s="2" t="s">
        <v>681</v>
      </c>
      <c r="D124" s="12" t="s">
        <v>790</v>
      </c>
      <c r="E124" s="2"/>
      <c r="F124" s="2" t="s">
        <v>65</v>
      </c>
      <c r="G124" s="2" t="s">
        <v>1680</v>
      </c>
      <c r="H124" s="2" t="s">
        <v>66</v>
      </c>
      <c r="I124" s="2" t="s">
        <v>5</v>
      </c>
      <c r="J124" s="2" t="s">
        <v>1618</v>
      </c>
      <c r="K124" s="2" t="s">
        <v>67</v>
      </c>
      <c r="L124" s="22">
        <v>22450.55</v>
      </c>
      <c r="M124" s="22">
        <v>22450.55</v>
      </c>
      <c r="N124" s="2" t="s">
        <v>14</v>
      </c>
      <c r="O124" s="7">
        <v>0</v>
      </c>
      <c r="P124" s="7"/>
      <c r="Q124" s="7"/>
      <c r="R124" s="7"/>
      <c r="S124" s="7"/>
      <c r="T124" s="7"/>
      <c r="U124" s="7"/>
      <c r="V124" s="7"/>
      <c r="W124" s="7"/>
      <c r="X124" s="7"/>
      <c r="Y124" s="7"/>
      <c r="Z124" s="7"/>
      <c r="AA124" s="7">
        <v>22450.55</v>
      </c>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v>0</v>
      </c>
      <c r="BL124" s="7"/>
      <c r="BM124" s="7"/>
      <c r="BN124" s="7"/>
      <c r="BO124" s="7"/>
      <c r="BP124" s="7"/>
      <c r="BQ124" s="7"/>
      <c r="BR124" s="7"/>
      <c r="BS124" s="7"/>
      <c r="BT124" s="7"/>
      <c r="BU124" s="7"/>
      <c r="BV124" s="7"/>
      <c r="BW124" s="8">
        <v>45978</v>
      </c>
      <c r="BX124" s="2"/>
      <c r="BY124" s="2" t="s">
        <v>1798</v>
      </c>
      <c r="BZ124" s="2" t="s">
        <v>1703</v>
      </c>
      <c r="CA124" s="14">
        <f t="shared" si="15"/>
        <v>22450.55</v>
      </c>
      <c r="CB124" s="2" t="str">
        <f t="shared" si="16"/>
        <v>OK</v>
      </c>
      <c r="CC124" s="13">
        <f t="shared" si="17"/>
        <v>0</v>
      </c>
    </row>
    <row r="125" spans="1:81" s="9" customFormat="1" ht="60" customHeight="1" x14ac:dyDescent="0.25">
      <c r="A125" s="2" t="s">
        <v>1530</v>
      </c>
      <c r="B125" s="2" t="s">
        <v>999</v>
      </c>
      <c r="C125" s="2" t="s">
        <v>681</v>
      </c>
      <c r="D125" s="12" t="s">
        <v>1828</v>
      </c>
      <c r="E125" s="2"/>
      <c r="F125" s="2" t="s">
        <v>72</v>
      </c>
      <c r="G125" s="2" t="s">
        <v>1680</v>
      </c>
      <c r="H125" s="2" t="s">
        <v>66</v>
      </c>
      <c r="I125" s="2" t="s">
        <v>1618</v>
      </c>
      <c r="J125" s="2" t="s">
        <v>1618</v>
      </c>
      <c r="K125" s="2" t="s">
        <v>67</v>
      </c>
      <c r="L125" s="22">
        <v>48778.3</v>
      </c>
      <c r="M125" s="22">
        <v>4064.86</v>
      </c>
      <c r="N125" s="2" t="s">
        <v>14</v>
      </c>
      <c r="O125" s="7"/>
      <c r="P125" s="7"/>
      <c r="Q125" s="7"/>
      <c r="R125" s="7"/>
      <c r="S125" s="7"/>
      <c r="T125" s="7"/>
      <c r="U125" s="7"/>
      <c r="V125" s="7"/>
      <c r="W125" s="7"/>
      <c r="X125" s="7">
        <v>0</v>
      </c>
      <c r="Y125" s="7"/>
      <c r="Z125" s="7"/>
      <c r="AA125" s="7">
        <v>4064.86</v>
      </c>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8">
        <v>45992</v>
      </c>
      <c r="BX125" s="2"/>
      <c r="BY125" s="2" t="s">
        <v>1798</v>
      </c>
      <c r="BZ125" s="2" t="s">
        <v>1703</v>
      </c>
      <c r="CA125" s="14">
        <f t="shared" si="15"/>
        <v>4064.86</v>
      </c>
      <c r="CB125" s="2" t="str">
        <f t="shared" si="16"/>
        <v>OK</v>
      </c>
      <c r="CC125" s="13">
        <f t="shared" si="17"/>
        <v>0</v>
      </c>
    </row>
    <row r="126" spans="1:81" s="9" customFormat="1" ht="110.1" customHeight="1" x14ac:dyDescent="0.25">
      <c r="A126" s="2" t="s">
        <v>1207</v>
      </c>
      <c r="B126" s="2" t="s">
        <v>271</v>
      </c>
      <c r="C126" s="2" t="s">
        <v>70</v>
      </c>
      <c r="D126" s="12" t="s">
        <v>272</v>
      </c>
      <c r="E126" s="2"/>
      <c r="F126" s="2" t="s">
        <v>1691</v>
      </c>
      <c r="G126" s="2" t="s">
        <v>1659</v>
      </c>
      <c r="H126" s="2" t="s">
        <v>66</v>
      </c>
      <c r="I126" s="2" t="s">
        <v>5</v>
      </c>
      <c r="J126" s="23" t="s">
        <v>1618</v>
      </c>
      <c r="K126" s="2" t="s">
        <v>67</v>
      </c>
      <c r="L126" s="22">
        <v>71792838</v>
      </c>
      <c r="M126" s="22">
        <f>71792838-47006802.85</f>
        <v>24786035.149999999</v>
      </c>
      <c r="N126" s="2" t="s">
        <v>41</v>
      </c>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f>71792838-47006802.85</f>
        <v>24786035.149999999</v>
      </c>
      <c r="BV126" s="7"/>
      <c r="BW126" s="8">
        <v>45689</v>
      </c>
      <c r="BX126" s="2"/>
      <c r="BY126" s="2" t="s">
        <v>1799</v>
      </c>
      <c r="BZ126" s="2" t="s">
        <v>1710</v>
      </c>
      <c r="CA126" s="14">
        <f t="shared" si="15"/>
        <v>24786035.149999999</v>
      </c>
      <c r="CB126" s="2" t="str">
        <f t="shared" si="16"/>
        <v>OK</v>
      </c>
      <c r="CC126" s="13">
        <f t="shared" si="17"/>
        <v>0</v>
      </c>
    </row>
    <row r="127" spans="1:81" s="9" customFormat="1" ht="103.5" customHeight="1" x14ac:dyDescent="0.25">
      <c r="A127" s="64" t="s">
        <v>1225</v>
      </c>
      <c r="B127" s="64" t="s">
        <v>312</v>
      </c>
      <c r="C127" s="64" t="s">
        <v>274</v>
      </c>
      <c r="D127" s="65" t="s">
        <v>1938</v>
      </c>
      <c r="E127" s="2"/>
      <c r="F127" s="64" t="s">
        <v>72</v>
      </c>
      <c r="G127" s="64" t="s">
        <v>1659</v>
      </c>
      <c r="H127" s="64" t="s">
        <v>66</v>
      </c>
      <c r="I127" s="64" t="s">
        <v>5</v>
      </c>
      <c r="J127" s="64" t="s">
        <v>1618</v>
      </c>
      <c r="K127" s="64" t="s">
        <v>67</v>
      </c>
      <c r="L127" s="66">
        <f>345698.08+44600.92</f>
        <v>390299</v>
      </c>
      <c r="M127" s="66">
        <f>345698.08+44600.92</f>
        <v>390299</v>
      </c>
      <c r="N127" s="64" t="s">
        <v>282</v>
      </c>
      <c r="O127" s="7">
        <v>0</v>
      </c>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v>345698.08</v>
      </c>
      <c r="BO127" s="7"/>
      <c r="BP127" s="7"/>
      <c r="BQ127" s="7"/>
      <c r="BR127" s="7"/>
      <c r="BS127" s="7"/>
      <c r="BT127" s="7"/>
      <c r="BU127" s="7"/>
      <c r="BV127" s="7"/>
      <c r="BW127" s="67">
        <v>45748</v>
      </c>
      <c r="BX127" s="8">
        <v>46010</v>
      </c>
      <c r="BY127" s="64" t="s">
        <v>1801</v>
      </c>
      <c r="BZ127" s="2" t="s">
        <v>1703</v>
      </c>
      <c r="CA127" s="14">
        <f t="shared" si="15"/>
        <v>345698.08</v>
      </c>
      <c r="CB127" s="2" t="str">
        <f t="shared" si="16"/>
        <v>CORRIGIR</v>
      </c>
      <c r="CC127" s="13">
        <f t="shared" si="17"/>
        <v>44600.919999999984</v>
      </c>
    </row>
    <row r="128" spans="1:81" s="9" customFormat="1" ht="94.5" customHeight="1" x14ac:dyDescent="0.25">
      <c r="A128" s="64" t="s">
        <v>1208</v>
      </c>
      <c r="B128" s="64" t="s">
        <v>295</v>
      </c>
      <c r="C128" s="64" t="s">
        <v>274</v>
      </c>
      <c r="D128" s="65" t="s">
        <v>1945</v>
      </c>
      <c r="E128" s="2"/>
      <c r="F128" s="64" t="s">
        <v>72</v>
      </c>
      <c r="G128" s="64" t="s">
        <v>1659</v>
      </c>
      <c r="H128" s="64" t="s">
        <v>66</v>
      </c>
      <c r="I128" s="64" t="s">
        <v>5</v>
      </c>
      <c r="J128" s="64" t="s">
        <v>1618</v>
      </c>
      <c r="K128" s="64" t="s">
        <v>67</v>
      </c>
      <c r="L128" s="66">
        <f>19829953.85+3063345.13</f>
        <v>22893298.98</v>
      </c>
      <c r="M128" s="66">
        <f>19829953.85+3063345.13</f>
        <v>22893298.98</v>
      </c>
      <c r="N128" s="64" t="s">
        <v>282</v>
      </c>
      <c r="O128" s="7">
        <v>0</v>
      </c>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v>19829953.850000001</v>
      </c>
      <c r="BO128" s="7"/>
      <c r="BP128" s="7"/>
      <c r="BQ128" s="7"/>
      <c r="BR128" s="7"/>
      <c r="BS128" s="7"/>
      <c r="BT128" s="7"/>
      <c r="BU128" s="7"/>
      <c r="BV128" s="7"/>
      <c r="BW128" s="67">
        <v>45787</v>
      </c>
      <c r="BX128" s="2"/>
      <c r="BY128" s="64" t="s">
        <v>1799</v>
      </c>
      <c r="BZ128" s="2"/>
      <c r="CA128" s="14">
        <f t="shared" si="15"/>
        <v>19829953.850000001</v>
      </c>
      <c r="CB128" s="2" t="str">
        <f t="shared" si="16"/>
        <v>CORRIGIR</v>
      </c>
      <c r="CC128" s="13">
        <f t="shared" si="17"/>
        <v>3063345.129999999</v>
      </c>
    </row>
    <row r="129" spans="1:81" s="9" customFormat="1" ht="58.5" customHeight="1" x14ac:dyDescent="0.25">
      <c r="A129" s="64" t="s">
        <v>1213</v>
      </c>
      <c r="B129" s="64" t="s">
        <v>325</v>
      </c>
      <c r="C129" s="64" t="s">
        <v>274</v>
      </c>
      <c r="D129" s="65" t="s">
        <v>326</v>
      </c>
      <c r="E129" s="2"/>
      <c r="F129" s="64" t="s">
        <v>72</v>
      </c>
      <c r="G129" s="64" t="s">
        <v>1659</v>
      </c>
      <c r="H129" s="64" t="s">
        <v>66</v>
      </c>
      <c r="I129" s="64" t="s">
        <v>327</v>
      </c>
      <c r="J129" s="81">
        <v>3000</v>
      </c>
      <c r="K129" s="64" t="s">
        <v>67</v>
      </c>
      <c r="L129" s="66">
        <f>4225470-3871470</f>
        <v>354000</v>
      </c>
      <c r="M129" s="66">
        <f>4225470-3871470</f>
        <v>354000</v>
      </c>
      <c r="N129" s="64" t="s">
        <v>26</v>
      </c>
      <c r="O129" s="7">
        <v>0</v>
      </c>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v>4225470</v>
      </c>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67">
        <v>45803</v>
      </c>
      <c r="BX129" s="2"/>
      <c r="BY129" s="64" t="s">
        <v>1799</v>
      </c>
      <c r="BZ129" s="2"/>
      <c r="CA129" s="14">
        <f t="shared" si="15"/>
        <v>4225470</v>
      </c>
      <c r="CB129" s="2" t="str">
        <f t="shared" si="16"/>
        <v>CORRIGIR</v>
      </c>
      <c r="CC129" s="13">
        <f t="shared" si="17"/>
        <v>-3871470</v>
      </c>
    </row>
    <row r="130" spans="1:81" s="9" customFormat="1" ht="110.1" customHeight="1" x14ac:dyDescent="0.25">
      <c r="A130" s="2" t="s">
        <v>1245</v>
      </c>
      <c r="B130" s="2" t="s">
        <v>366</v>
      </c>
      <c r="C130" s="2" t="s">
        <v>350</v>
      </c>
      <c r="D130" s="12" t="s">
        <v>367</v>
      </c>
      <c r="E130" s="2"/>
      <c r="F130" s="2" t="s">
        <v>72</v>
      </c>
      <c r="G130" s="2" t="s">
        <v>1659</v>
      </c>
      <c r="H130" s="2" t="s">
        <v>66</v>
      </c>
      <c r="I130" s="2" t="s">
        <v>5</v>
      </c>
      <c r="J130" s="2">
        <v>700</v>
      </c>
      <c r="K130" s="2" t="s">
        <v>67</v>
      </c>
      <c r="L130" s="22">
        <v>55000</v>
      </c>
      <c r="M130" s="22">
        <v>55000</v>
      </c>
      <c r="N130" s="2" t="s">
        <v>32</v>
      </c>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v>55000</v>
      </c>
      <c r="BM130" s="7"/>
      <c r="BN130" s="7"/>
      <c r="BO130" s="7"/>
      <c r="BP130" s="7"/>
      <c r="BQ130" s="7"/>
      <c r="BR130" s="7"/>
      <c r="BS130" s="7"/>
      <c r="BT130" s="7"/>
      <c r="BU130" s="7"/>
      <c r="BV130" s="7"/>
      <c r="BW130" s="8">
        <v>45811</v>
      </c>
      <c r="BX130" s="2"/>
      <c r="BY130" s="2" t="s">
        <v>1798</v>
      </c>
      <c r="BZ130" s="2" t="s">
        <v>1703</v>
      </c>
      <c r="CA130" s="14">
        <f t="shared" si="15"/>
        <v>55000</v>
      </c>
      <c r="CB130" s="2" t="str">
        <f t="shared" si="16"/>
        <v>OK</v>
      </c>
      <c r="CC130" s="13">
        <f t="shared" si="17"/>
        <v>0</v>
      </c>
    </row>
    <row r="131" spans="1:81" s="9" customFormat="1" ht="110.1" customHeight="1" x14ac:dyDescent="0.25">
      <c r="A131" s="64" t="s">
        <v>1376</v>
      </c>
      <c r="B131" s="57" t="s">
        <v>664</v>
      </c>
      <c r="C131" s="64" t="s">
        <v>591</v>
      </c>
      <c r="D131" s="65" t="s">
        <v>665</v>
      </c>
      <c r="E131" s="57"/>
      <c r="F131" s="64" t="s">
        <v>1928</v>
      </c>
      <c r="G131" s="64" t="s">
        <v>1659</v>
      </c>
      <c r="H131" s="64" t="s">
        <v>66</v>
      </c>
      <c r="I131" s="64" t="s">
        <v>5</v>
      </c>
      <c r="J131" s="64" t="s">
        <v>1618</v>
      </c>
      <c r="K131" s="64" t="s">
        <v>67</v>
      </c>
      <c r="L131" s="66">
        <f>58548175.96+2572923.44</f>
        <v>61121099.399999999</v>
      </c>
      <c r="M131" s="66">
        <f>41700000-1268726</f>
        <v>40431274</v>
      </c>
      <c r="N131" s="64" t="s">
        <v>41</v>
      </c>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c r="BO131" s="58"/>
      <c r="BP131" s="58"/>
      <c r="BQ131" s="58"/>
      <c r="BR131" s="58"/>
      <c r="BS131" s="58"/>
      <c r="BT131" s="58"/>
      <c r="BU131" s="58">
        <f>41700000-1268736</f>
        <v>40431264</v>
      </c>
      <c r="BV131" s="58"/>
      <c r="BW131" s="67">
        <v>45869</v>
      </c>
      <c r="BX131" s="57"/>
      <c r="BY131" s="64" t="s">
        <v>1798</v>
      </c>
      <c r="BZ131" s="2" t="s">
        <v>1707</v>
      </c>
      <c r="CA131" s="14">
        <f t="shared" si="15"/>
        <v>40431264</v>
      </c>
      <c r="CB131" s="2" t="str">
        <f t="shared" si="16"/>
        <v>CORRIGIR</v>
      </c>
      <c r="CC131" s="13">
        <f t="shared" si="17"/>
        <v>10</v>
      </c>
    </row>
    <row r="132" spans="1:81" s="9" customFormat="1" ht="100.5" customHeight="1" x14ac:dyDescent="0.25">
      <c r="A132" s="64" t="s">
        <v>1941</v>
      </c>
      <c r="B132" s="64" t="s">
        <v>1942</v>
      </c>
      <c r="C132" s="64" t="s">
        <v>1041</v>
      </c>
      <c r="D132" s="65" t="s">
        <v>1946</v>
      </c>
      <c r="E132" s="1"/>
      <c r="F132" s="64" t="s">
        <v>65</v>
      </c>
      <c r="G132" s="64" t="s">
        <v>1659</v>
      </c>
      <c r="H132" s="64" t="s">
        <v>66</v>
      </c>
      <c r="I132" s="64" t="s">
        <v>5</v>
      </c>
      <c r="J132" s="64" t="s">
        <v>1618</v>
      </c>
      <c r="K132" s="82" t="s">
        <v>67</v>
      </c>
      <c r="L132" s="68">
        <v>21414.36</v>
      </c>
      <c r="M132" s="68">
        <v>21414.36</v>
      </c>
      <c r="N132" s="64" t="s">
        <v>43</v>
      </c>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67">
        <v>45880</v>
      </c>
      <c r="BX132" s="1"/>
      <c r="BY132" s="64" t="s">
        <v>1798</v>
      </c>
      <c r="BZ132" s="2" t="s">
        <v>1710</v>
      </c>
      <c r="CA132" s="14">
        <f t="shared" si="15"/>
        <v>0</v>
      </c>
      <c r="CB132" s="2" t="str">
        <f t="shared" si="16"/>
        <v>CORRIGIR</v>
      </c>
      <c r="CC132" s="13">
        <f t="shared" si="17"/>
        <v>21414.36</v>
      </c>
    </row>
    <row r="133" spans="1:81" s="9" customFormat="1" ht="100.5" customHeight="1" x14ac:dyDescent="0.25">
      <c r="A133" s="2" t="s">
        <v>1230</v>
      </c>
      <c r="B133" s="2" t="s">
        <v>336</v>
      </c>
      <c r="C133" s="2" t="s">
        <v>337</v>
      </c>
      <c r="D133" s="12" t="s">
        <v>338</v>
      </c>
      <c r="E133" s="2"/>
      <c r="F133" s="2" t="s">
        <v>72</v>
      </c>
      <c r="G133" s="2" t="s">
        <v>1659</v>
      </c>
      <c r="H133" s="2" t="s">
        <v>66</v>
      </c>
      <c r="I133" s="2" t="s">
        <v>5</v>
      </c>
      <c r="J133" s="2" t="s">
        <v>1618</v>
      </c>
      <c r="K133" s="2" t="s">
        <v>67</v>
      </c>
      <c r="L133" s="22">
        <v>941777.32</v>
      </c>
      <c r="M133" s="22">
        <v>941777.32</v>
      </c>
      <c r="N133" s="2" t="s">
        <v>38</v>
      </c>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v>941777.32</v>
      </c>
      <c r="BS133" s="7"/>
      <c r="BT133" s="7"/>
      <c r="BU133" s="7"/>
      <c r="BV133" s="7"/>
      <c r="BW133" s="8">
        <v>45898</v>
      </c>
      <c r="BX133" s="2"/>
      <c r="BY133" s="2" t="s">
        <v>1801</v>
      </c>
      <c r="BZ133" s="2" t="s">
        <v>1707</v>
      </c>
      <c r="CA133" s="14">
        <f t="shared" si="15"/>
        <v>941777.32</v>
      </c>
      <c r="CB133" s="2" t="str">
        <f t="shared" si="16"/>
        <v>OK</v>
      </c>
      <c r="CC133" s="13">
        <f t="shared" si="17"/>
        <v>0</v>
      </c>
    </row>
    <row r="134" spans="1:81" s="9" customFormat="1" ht="60.75" customHeight="1" x14ac:dyDescent="0.25">
      <c r="A134" s="2" t="s">
        <v>1607</v>
      </c>
      <c r="B134" s="2" t="s">
        <v>626</v>
      </c>
      <c r="C134" s="2" t="s">
        <v>331</v>
      </c>
      <c r="D134" s="12" t="s">
        <v>2041</v>
      </c>
      <c r="E134" s="2"/>
      <c r="F134" s="2" t="s">
        <v>72</v>
      </c>
      <c r="G134" s="2" t="s">
        <v>1659</v>
      </c>
      <c r="H134" s="2" t="s">
        <v>66</v>
      </c>
      <c r="I134" s="2" t="s">
        <v>5</v>
      </c>
      <c r="J134" s="2">
        <v>750</v>
      </c>
      <c r="K134" s="2" t="s">
        <v>67</v>
      </c>
      <c r="L134" s="22">
        <v>76042.5</v>
      </c>
      <c r="M134" s="22">
        <v>76042.5</v>
      </c>
      <c r="N134" s="2" t="s">
        <v>32</v>
      </c>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v>76042.5</v>
      </c>
      <c r="BM134" s="7"/>
      <c r="BN134" s="7"/>
      <c r="BO134" s="7"/>
      <c r="BP134" s="7"/>
      <c r="BQ134" s="7"/>
      <c r="BR134" s="7"/>
      <c r="BS134" s="7"/>
      <c r="BT134" s="7"/>
      <c r="BU134" s="7"/>
      <c r="BV134" s="7"/>
      <c r="BW134" s="8">
        <v>45898</v>
      </c>
      <c r="BX134" s="2"/>
      <c r="BY134" s="2" t="s">
        <v>1801</v>
      </c>
      <c r="BZ134" s="2" t="s">
        <v>1703</v>
      </c>
      <c r="CA134" s="14">
        <f t="shared" si="15"/>
        <v>76042.5</v>
      </c>
      <c r="CB134" s="2" t="str">
        <f t="shared" si="16"/>
        <v>OK</v>
      </c>
      <c r="CC134" s="13">
        <f t="shared" si="17"/>
        <v>0</v>
      </c>
    </row>
    <row r="135" spans="1:81" s="9" customFormat="1" ht="116.25" customHeight="1" x14ac:dyDescent="0.25">
      <c r="A135" s="64" t="s">
        <v>1153</v>
      </c>
      <c r="B135" s="64" t="s">
        <v>69</v>
      </c>
      <c r="C135" s="64" t="s">
        <v>70</v>
      </c>
      <c r="D135" s="65" t="s">
        <v>71</v>
      </c>
      <c r="E135" s="2"/>
      <c r="F135" s="64" t="s">
        <v>2077</v>
      </c>
      <c r="G135" s="64" t="s">
        <v>1659</v>
      </c>
      <c r="H135" s="64" t="s">
        <v>66</v>
      </c>
      <c r="I135" s="64" t="s">
        <v>5</v>
      </c>
      <c r="J135" s="81" t="s">
        <v>1618</v>
      </c>
      <c r="K135" s="64" t="s">
        <v>67</v>
      </c>
      <c r="L135" s="66">
        <f>4743000+1724958</f>
        <v>6467958</v>
      </c>
      <c r="M135" s="66">
        <f>4743000+1724958</f>
        <v>6467958</v>
      </c>
      <c r="N135" s="64" t="s">
        <v>41</v>
      </c>
      <c r="O135" s="7">
        <v>0</v>
      </c>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v>4743000</v>
      </c>
      <c r="BV135" s="7"/>
      <c r="BW135" s="67">
        <v>45961</v>
      </c>
      <c r="BX135" s="2"/>
      <c r="BY135" s="64" t="s">
        <v>1799</v>
      </c>
      <c r="BZ135" s="2" t="s">
        <v>1707</v>
      </c>
      <c r="CA135" s="14">
        <f t="shared" si="15"/>
        <v>4743000</v>
      </c>
      <c r="CB135" s="2" t="str">
        <f t="shared" si="16"/>
        <v>CORRIGIR</v>
      </c>
      <c r="CC135" s="13">
        <f t="shared" si="17"/>
        <v>1724958</v>
      </c>
    </row>
    <row r="136" spans="1:81" s="9" customFormat="1" ht="79.5" customHeight="1" x14ac:dyDescent="0.25">
      <c r="A136" s="2" t="s">
        <v>1377</v>
      </c>
      <c r="B136" s="2" t="s">
        <v>590</v>
      </c>
      <c r="C136" s="2" t="s">
        <v>591</v>
      </c>
      <c r="D136" s="12" t="s">
        <v>592</v>
      </c>
      <c r="E136" s="2"/>
      <c r="F136" s="2" t="s">
        <v>1691</v>
      </c>
      <c r="G136" s="2" t="s">
        <v>1659</v>
      </c>
      <c r="H136" s="2" t="s">
        <v>66</v>
      </c>
      <c r="I136" s="2" t="s">
        <v>1618</v>
      </c>
      <c r="J136" s="2" t="s">
        <v>1614</v>
      </c>
      <c r="K136" s="2" t="s">
        <v>67</v>
      </c>
      <c r="L136" s="22">
        <v>4300933.95</v>
      </c>
      <c r="M136" s="22">
        <v>4300933.95</v>
      </c>
      <c r="N136" s="2" t="s">
        <v>41</v>
      </c>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v>4300933.95</v>
      </c>
      <c r="BV136" s="7"/>
      <c r="BW136" s="8">
        <v>45961</v>
      </c>
      <c r="BX136" s="2"/>
      <c r="BY136" s="2" t="s">
        <v>1801</v>
      </c>
      <c r="BZ136" s="2" t="s">
        <v>1703</v>
      </c>
      <c r="CA136" s="14">
        <f t="shared" si="15"/>
        <v>4300933.95</v>
      </c>
      <c r="CB136" s="2" t="str">
        <f t="shared" si="16"/>
        <v>OK</v>
      </c>
      <c r="CC136" s="13">
        <f t="shared" si="17"/>
        <v>0</v>
      </c>
    </row>
    <row r="137" spans="1:81" s="9" customFormat="1" ht="117" customHeight="1" x14ac:dyDescent="0.25">
      <c r="A137" s="2" t="s">
        <v>1234</v>
      </c>
      <c r="B137" s="2" t="s">
        <v>1128</v>
      </c>
      <c r="C137" s="2" t="s">
        <v>342</v>
      </c>
      <c r="D137" s="12" t="s">
        <v>1129</v>
      </c>
      <c r="E137" s="2"/>
      <c r="F137" s="2" t="s">
        <v>72</v>
      </c>
      <c r="G137" s="2" t="s">
        <v>1788</v>
      </c>
      <c r="H137" s="2" t="s">
        <v>66</v>
      </c>
      <c r="I137" s="2" t="s">
        <v>686</v>
      </c>
      <c r="J137" s="2" t="s">
        <v>1618</v>
      </c>
      <c r="K137" s="2" t="s">
        <v>67</v>
      </c>
      <c r="L137" s="7">
        <v>29228797.57</v>
      </c>
      <c r="M137" s="22">
        <v>9742932.5199999996</v>
      </c>
      <c r="N137" s="2" t="s">
        <v>2013</v>
      </c>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v>4871466.26</v>
      </c>
      <c r="AO137" s="7">
        <v>4871466.26</v>
      </c>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8">
        <v>45691</v>
      </c>
      <c r="BX137" s="2"/>
      <c r="BY137" s="2" t="s">
        <v>1802</v>
      </c>
      <c r="BZ137" s="2"/>
      <c r="CA137" s="14">
        <f t="shared" si="15"/>
        <v>9742932.5199999996</v>
      </c>
      <c r="CB137" s="2" t="str">
        <f t="shared" si="16"/>
        <v>OK</v>
      </c>
      <c r="CC137" s="13">
        <f t="shared" si="17"/>
        <v>0</v>
      </c>
    </row>
    <row r="138" spans="1:81" s="9" customFormat="1" ht="94.5" customHeight="1" x14ac:dyDescent="0.25">
      <c r="A138" s="64" t="s">
        <v>1217</v>
      </c>
      <c r="B138" s="64" t="s">
        <v>273</v>
      </c>
      <c r="C138" s="64" t="s">
        <v>274</v>
      </c>
      <c r="D138" s="65" t="s">
        <v>275</v>
      </c>
      <c r="E138" s="2"/>
      <c r="F138" s="64" t="s">
        <v>72</v>
      </c>
      <c r="G138" s="64" t="s">
        <v>1659</v>
      </c>
      <c r="H138" s="64" t="s">
        <v>66</v>
      </c>
      <c r="I138" s="64" t="s">
        <v>5</v>
      </c>
      <c r="J138" s="81" t="s">
        <v>1618</v>
      </c>
      <c r="K138" s="64" t="s">
        <v>67</v>
      </c>
      <c r="L138" s="66">
        <f>1707546.66+300327.2</f>
        <v>2007873.8599999999</v>
      </c>
      <c r="M138" s="66">
        <f>1707546.66+300327.2</f>
        <v>2007873.8599999999</v>
      </c>
      <c r="N138" s="64" t="s">
        <v>40</v>
      </c>
      <c r="O138" s="7">
        <v>0</v>
      </c>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v>1707546.66</v>
      </c>
      <c r="BU138" s="7"/>
      <c r="BV138" s="7"/>
      <c r="BW138" s="67">
        <v>46022</v>
      </c>
      <c r="BX138" s="2"/>
      <c r="BY138" s="64" t="s">
        <v>1799</v>
      </c>
      <c r="BZ138" s="2" t="s">
        <v>1703</v>
      </c>
      <c r="CA138" s="14">
        <f t="shared" si="15"/>
        <v>1707546.66</v>
      </c>
      <c r="CB138" s="2" t="str">
        <f t="shared" si="16"/>
        <v>CORRIGIR</v>
      </c>
      <c r="CC138" s="13">
        <f t="shared" si="17"/>
        <v>300327.19999999995</v>
      </c>
    </row>
    <row r="139" spans="1:81" s="9" customFormat="1" ht="102" customHeight="1" x14ac:dyDescent="0.25">
      <c r="A139" s="64" t="s">
        <v>1936</v>
      </c>
      <c r="B139" s="64" t="s">
        <v>1957</v>
      </c>
      <c r="C139" s="64" t="s">
        <v>379</v>
      </c>
      <c r="D139" s="65" t="s">
        <v>1929</v>
      </c>
      <c r="E139" s="57"/>
      <c r="F139" s="64" t="s">
        <v>1930</v>
      </c>
      <c r="G139" s="64" t="s">
        <v>1668</v>
      </c>
      <c r="H139" s="64" t="s">
        <v>66</v>
      </c>
      <c r="I139" s="64" t="s">
        <v>686</v>
      </c>
      <c r="J139" s="64" t="s">
        <v>1618</v>
      </c>
      <c r="K139" s="64" t="s">
        <v>384</v>
      </c>
      <c r="L139" s="66">
        <v>728561.98</v>
      </c>
      <c r="M139" s="66">
        <v>728561.98</v>
      </c>
      <c r="N139" s="64" t="s">
        <v>381</v>
      </c>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c r="BO139" s="58"/>
      <c r="BP139" s="58"/>
      <c r="BQ139" s="58"/>
      <c r="BR139" s="58"/>
      <c r="BS139" s="58"/>
      <c r="BT139" s="58"/>
      <c r="BU139" s="58"/>
      <c r="BV139" s="58"/>
      <c r="BW139" s="67">
        <v>45677</v>
      </c>
      <c r="BX139" s="57"/>
      <c r="BY139" s="64" t="s">
        <v>1805</v>
      </c>
      <c r="BZ139" s="2" t="s">
        <v>1703</v>
      </c>
      <c r="CA139" s="14">
        <f t="shared" si="15"/>
        <v>0</v>
      </c>
      <c r="CB139" s="2" t="str">
        <f t="shared" si="16"/>
        <v>CORRIGIR</v>
      </c>
      <c r="CC139" s="13">
        <f t="shared" si="17"/>
        <v>728561.98</v>
      </c>
    </row>
    <row r="140" spans="1:81" s="9" customFormat="1" ht="107.25" customHeight="1" x14ac:dyDescent="0.25">
      <c r="A140" s="2" t="s">
        <v>1289</v>
      </c>
      <c r="B140" s="2" t="s">
        <v>541</v>
      </c>
      <c r="C140" s="2" t="s">
        <v>379</v>
      </c>
      <c r="D140" s="12" t="s">
        <v>542</v>
      </c>
      <c r="E140" s="2"/>
      <c r="F140" s="2" t="s">
        <v>72</v>
      </c>
      <c r="G140" s="2" t="s">
        <v>1668</v>
      </c>
      <c r="H140" s="2" t="s">
        <v>66</v>
      </c>
      <c r="I140" s="2" t="s">
        <v>686</v>
      </c>
      <c r="J140" s="2" t="s">
        <v>1618</v>
      </c>
      <c r="K140" s="2" t="s">
        <v>384</v>
      </c>
      <c r="L140" s="22">
        <v>11710169.800000001</v>
      </c>
      <c r="M140" s="22">
        <v>460000</v>
      </c>
      <c r="N140" s="2" t="s">
        <v>381</v>
      </c>
      <c r="O140" s="7"/>
      <c r="P140" s="7"/>
      <c r="Q140" s="7"/>
      <c r="R140" s="7">
        <f>M140</f>
        <v>460000</v>
      </c>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8">
        <v>45762</v>
      </c>
      <c r="BX140" s="2"/>
      <c r="BY140" s="2" t="s">
        <v>1803</v>
      </c>
      <c r="BZ140" s="2"/>
      <c r="CA140" s="14">
        <f t="shared" si="15"/>
        <v>460000</v>
      </c>
      <c r="CB140" s="2" t="str">
        <f t="shared" si="16"/>
        <v>OK</v>
      </c>
      <c r="CC140" s="13">
        <f t="shared" si="17"/>
        <v>0</v>
      </c>
    </row>
    <row r="141" spans="1:81" s="9" customFormat="1" ht="100.5" customHeight="1" x14ac:dyDescent="0.25">
      <c r="A141" s="2" t="s">
        <v>1295</v>
      </c>
      <c r="B141" s="2" t="s">
        <v>507</v>
      </c>
      <c r="C141" s="2" t="s">
        <v>379</v>
      </c>
      <c r="D141" s="12" t="s">
        <v>508</v>
      </c>
      <c r="E141" s="2"/>
      <c r="F141" s="2" t="s">
        <v>72</v>
      </c>
      <c r="G141" s="2" t="s">
        <v>1668</v>
      </c>
      <c r="H141" s="2" t="s">
        <v>66</v>
      </c>
      <c r="I141" s="2" t="s">
        <v>686</v>
      </c>
      <c r="J141" s="2" t="s">
        <v>1618</v>
      </c>
      <c r="K141" s="2" t="s">
        <v>384</v>
      </c>
      <c r="L141" s="22">
        <v>10786211.4</v>
      </c>
      <c r="M141" s="22">
        <v>100000</v>
      </c>
      <c r="N141" s="2" t="s">
        <v>398</v>
      </c>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f>M141</f>
        <v>100000</v>
      </c>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8">
        <v>45777</v>
      </c>
      <c r="BX141" s="2"/>
      <c r="BY141" s="2" t="s">
        <v>1803</v>
      </c>
      <c r="BZ141" s="2"/>
      <c r="CA141" s="14">
        <f t="shared" si="15"/>
        <v>100000</v>
      </c>
      <c r="CB141" s="2" t="str">
        <f t="shared" si="16"/>
        <v>OK</v>
      </c>
      <c r="CC141" s="13">
        <f t="shared" si="17"/>
        <v>0</v>
      </c>
    </row>
    <row r="142" spans="1:81" s="9" customFormat="1" ht="108.75" customHeight="1" x14ac:dyDescent="0.25">
      <c r="A142" s="2" t="s">
        <v>1297</v>
      </c>
      <c r="B142" s="2" t="s">
        <v>533</v>
      </c>
      <c r="C142" s="2" t="s">
        <v>379</v>
      </c>
      <c r="D142" s="12" t="s">
        <v>534</v>
      </c>
      <c r="E142" s="2"/>
      <c r="F142" s="2" t="s">
        <v>72</v>
      </c>
      <c r="G142" s="2" t="s">
        <v>1668</v>
      </c>
      <c r="H142" s="2" t="s">
        <v>66</v>
      </c>
      <c r="I142" s="2" t="s">
        <v>686</v>
      </c>
      <c r="J142" s="2" t="s">
        <v>1618</v>
      </c>
      <c r="K142" s="2" t="s">
        <v>384</v>
      </c>
      <c r="L142" s="22">
        <v>8698852.2699999996</v>
      </c>
      <c r="M142" s="22">
        <v>1000000</v>
      </c>
      <c r="N142" s="2" t="s">
        <v>381</v>
      </c>
      <c r="O142" s="7"/>
      <c r="P142" s="7"/>
      <c r="Q142" s="7"/>
      <c r="R142" s="7">
        <f>M142</f>
        <v>1000000</v>
      </c>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8">
        <v>45777</v>
      </c>
      <c r="BX142" s="2"/>
      <c r="BY142" s="2" t="s">
        <v>1803</v>
      </c>
      <c r="BZ142" s="2"/>
      <c r="CA142" s="14">
        <f t="shared" si="15"/>
        <v>1000000</v>
      </c>
      <c r="CB142" s="2" t="str">
        <f t="shared" si="16"/>
        <v>OK</v>
      </c>
      <c r="CC142" s="13">
        <f t="shared" si="17"/>
        <v>0</v>
      </c>
    </row>
    <row r="143" spans="1:81" s="9" customFormat="1" ht="99" customHeight="1" x14ac:dyDescent="0.25">
      <c r="A143" s="2" t="s">
        <v>1308</v>
      </c>
      <c r="B143" s="2" t="s">
        <v>518</v>
      </c>
      <c r="C143" s="2" t="s">
        <v>379</v>
      </c>
      <c r="D143" s="12" t="s">
        <v>519</v>
      </c>
      <c r="E143" s="2"/>
      <c r="F143" s="2" t="s">
        <v>72</v>
      </c>
      <c r="G143" s="2" t="s">
        <v>1668</v>
      </c>
      <c r="H143" s="2" t="s">
        <v>66</v>
      </c>
      <c r="I143" s="2" t="s">
        <v>686</v>
      </c>
      <c r="J143" s="2" t="s">
        <v>1618</v>
      </c>
      <c r="K143" s="2" t="s">
        <v>384</v>
      </c>
      <c r="L143" s="22">
        <v>6998970.6500000004</v>
      </c>
      <c r="M143" s="22">
        <v>100000</v>
      </c>
      <c r="N143" s="2" t="s">
        <v>381</v>
      </c>
      <c r="O143" s="7"/>
      <c r="P143" s="7"/>
      <c r="Q143" s="7"/>
      <c r="R143" s="7">
        <f>M143</f>
        <v>100000</v>
      </c>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8">
        <v>45783</v>
      </c>
      <c r="BX143" s="2"/>
      <c r="BY143" s="2" t="s">
        <v>1803</v>
      </c>
      <c r="BZ143" s="57" t="s">
        <v>1703</v>
      </c>
      <c r="CA143" s="14">
        <f t="shared" ref="CA143:CA174" si="18">SUM(O143:BV143)</f>
        <v>100000</v>
      </c>
      <c r="CB143" s="2" t="str">
        <f t="shared" ref="CB143:CB174" si="19">IF(M143=CA143,"OK","CORRIGIR")</f>
        <v>OK</v>
      </c>
      <c r="CC143" s="13">
        <f t="shared" ref="CC143:CC174" si="20">M143-CA143</f>
        <v>0</v>
      </c>
    </row>
    <row r="144" spans="1:81" s="9" customFormat="1" ht="105.75" customHeight="1" x14ac:dyDescent="0.25">
      <c r="A144" s="2" t="s">
        <v>1293</v>
      </c>
      <c r="B144" s="2" t="s">
        <v>527</v>
      </c>
      <c r="C144" s="2" t="s">
        <v>379</v>
      </c>
      <c r="D144" s="12" t="s">
        <v>528</v>
      </c>
      <c r="E144" s="2"/>
      <c r="F144" s="2" t="s">
        <v>72</v>
      </c>
      <c r="G144" s="2" t="s">
        <v>1668</v>
      </c>
      <c r="H144" s="2" t="s">
        <v>66</v>
      </c>
      <c r="I144" s="2" t="s">
        <v>686</v>
      </c>
      <c r="J144" s="2" t="s">
        <v>1618</v>
      </c>
      <c r="K144" s="2" t="s">
        <v>384</v>
      </c>
      <c r="L144" s="22">
        <v>13956760.83</v>
      </c>
      <c r="M144" s="22">
        <v>100000</v>
      </c>
      <c r="N144" s="2" t="s">
        <v>381</v>
      </c>
      <c r="O144" s="7"/>
      <c r="P144" s="7"/>
      <c r="Q144" s="7"/>
      <c r="R144" s="7">
        <f>M144</f>
        <v>100000</v>
      </c>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8">
        <v>45807</v>
      </c>
      <c r="BX144" s="2"/>
      <c r="BY144" s="2" t="s">
        <v>1803</v>
      </c>
      <c r="BZ144" s="8" t="s">
        <v>1749</v>
      </c>
      <c r="CA144" s="14">
        <f t="shared" si="18"/>
        <v>100000</v>
      </c>
      <c r="CB144" s="2" t="str">
        <f t="shared" si="19"/>
        <v>OK</v>
      </c>
      <c r="CC144" s="13">
        <f t="shared" si="20"/>
        <v>0</v>
      </c>
    </row>
    <row r="145" spans="1:81" s="9" customFormat="1" ht="108" customHeight="1" x14ac:dyDescent="0.25">
      <c r="A145" s="2" t="s">
        <v>1298</v>
      </c>
      <c r="B145" s="2" t="s">
        <v>514</v>
      </c>
      <c r="C145" s="2" t="s">
        <v>379</v>
      </c>
      <c r="D145" s="12" t="s">
        <v>515</v>
      </c>
      <c r="E145" s="2"/>
      <c r="F145" s="2" t="s">
        <v>72</v>
      </c>
      <c r="G145" s="2" t="s">
        <v>1668</v>
      </c>
      <c r="H145" s="2" t="s">
        <v>66</v>
      </c>
      <c r="I145" s="2" t="s">
        <v>686</v>
      </c>
      <c r="J145" s="2" t="s">
        <v>1618</v>
      </c>
      <c r="K145" s="2" t="s">
        <v>384</v>
      </c>
      <c r="L145" s="22">
        <v>6537298.7800000003</v>
      </c>
      <c r="M145" s="22">
        <v>100000</v>
      </c>
      <c r="N145" s="2" t="s">
        <v>381</v>
      </c>
      <c r="O145" s="7"/>
      <c r="P145" s="7"/>
      <c r="Q145" s="7"/>
      <c r="R145" s="7">
        <f>M145</f>
        <v>100000</v>
      </c>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8">
        <v>45807</v>
      </c>
      <c r="BX145" s="2"/>
      <c r="BY145" s="2" t="s">
        <v>1803</v>
      </c>
      <c r="BZ145" s="57"/>
      <c r="CA145" s="14">
        <f t="shared" si="18"/>
        <v>100000</v>
      </c>
      <c r="CB145" s="2" t="str">
        <f t="shared" si="19"/>
        <v>OK</v>
      </c>
      <c r="CC145" s="13">
        <f t="shared" si="20"/>
        <v>0</v>
      </c>
    </row>
    <row r="146" spans="1:81" s="9" customFormat="1" ht="84" customHeight="1" x14ac:dyDescent="0.25">
      <c r="A146" s="2" t="s">
        <v>1307</v>
      </c>
      <c r="B146" s="2" t="s">
        <v>491</v>
      </c>
      <c r="C146" s="2" t="s">
        <v>379</v>
      </c>
      <c r="D146" s="12" t="s">
        <v>492</v>
      </c>
      <c r="E146" s="2"/>
      <c r="F146" s="2" t="s">
        <v>72</v>
      </c>
      <c r="G146" s="2" t="s">
        <v>1668</v>
      </c>
      <c r="H146" s="2" t="s">
        <v>66</v>
      </c>
      <c r="I146" s="2" t="s">
        <v>686</v>
      </c>
      <c r="J146" s="2" t="s">
        <v>1618</v>
      </c>
      <c r="K146" s="2" t="s">
        <v>384</v>
      </c>
      <c r="L146" s="22">
        <v>12548918.970000001</v>
      </c>
      <c r="M146" s="22">
        <v>1000000</v>
      </c>
      <c r="N146" s="2" t="s">
        <v>398</v>
      </c>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f>M146</f>
        <v>1000000</v>
      </c>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8">
        <v>45838</v>
      </c>
      <c r="BX146" s="2"/>
      <c r="BY146" s="2" t="s">
        <v>1803</v>
      </c>
      <c r="BZ146" s="8" t="s">
        <v>1753</v>
      </c>
      <c r="CA146" s="14">
        <f t="shared" si="18"/>
        <v>1000000</v>
      </c>
      <c r="CB146" s="2" t="str">
        <f t="shared" si="19"/>
        <v>OK</v>
      </c>
      <c r="CC146" s="13">
        <f t="shared" si="20"/>
        <v>0</v>
      </c>
    </row>
    <row r="147" spans="1:81" s="9" customFormat="1" ht="99" customHeight="1" x14ac:dyDescent="0.25">
      <c r="A147" s="64" t="s">
        <v>1317</v>
      </c>
      <c r="B147" s="64" t="s">
        <v>516</v>
      </c>
      <c r="C147" s="64" t="s">
        <v>379</v>
      </c>
      <c r="D147" s="65" t="s">
        <v>517</v>
      </c>
      <c r="E147" s="2"/>
      <c r="F147" s="64" t="s">
        <v>72</v>
      </c>
      <c r="G147" s="64" t="s">
        <v>1668</v>
      </c>
      <c r="H147" s="64" t="s">
        <v>66</v>
      </c>
      <c r="I147" s="64" t="s">
        <v>686</v>
      </c>
      <c r="J147" s="64" t="s">
        <v>1618</v>
      </c>
      <c r="K147" s="64" t="s">
        <v>384</v>
      </c>
      <c r="L147" s="66">
        <v>740997.23</v>
      </c>
      <c r="M147" s="66">
        <f>740997.23-50000-50000</f>
        <v>640997.23</v>
      </c>
      <c r="N147" s="64" t="s">
        <v>381</v>
      </c>
      <c r="O147" s="7"/>
      <c r="P147" s="7"/>
      <c r="Q147" s="7"/>
      <c r="R147" s="7">
        <f>M147</f>
        <v>640997.23</v>
      </c>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67">
        <v>45838</v>
      </c>
      <c r="BX147" s="2"/>
      <c r="BY147" s="64" t="s">
        <v>1803</v>
      </c>
      <c r="BZ147" s="8" t="s">
        <v>1744</v>
      </c>
      <c r="CA147" s="14">
        <f t="shared" si="18"/>
        <v>640997.23</v>
      </c>
      <c r="CB147" s="2" t="str">
        <f t="shared" si="19"/>
        <v>OK</v>
      </c>
      <c r="CC147" s="13">
        <f t="shared" si="20"/>
        <v>0</v>
      </c>
    </row>
    <row r="148" spans="1:81" s="9" customFormat="1" ht="90.75" customHeight="1" x14ac:dyDescent="0.25">
      <c r="A148" s="2" t="s">
        <v>1318</v>
      </c>
      <c r="B148" s="2" t="s">
        <v>505</v>
      </c>
      <c r="C148" s="2" t="s">
        <v>379</v>
      </c>
      <c r="D148" s="12" t="s">
        <v>506</v>
      </c>
      <c r="E148" s="2"/>
      <c r="F148" s="2" t="s">
        <v>72</v>
      </c>
      <c r="G148" s="2" t="s">
        <v>1668</v>
      </c>
      <c r="H148" s="2" t="s">
        <v>66</v>
      </c>
      <c r="I148" s="2" t="s">
        <v>686</v>
      </c>
      <c r="J148" s="2" t="s">
        <v>1618</v>
      </c>
      <c r="K148" s="2" t="s">
        <v>384</v>
      </c>
      <c r="L148" s="22">
        <v>691151.09</v>
      </c>
      <c r="M148" s="22">
        <v>100000</v>
      </c>
      <c r="N148" s="2" t="s">
        <v>398</v>
      </c>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f>M148</f>
        <v>100000</v>
      </c>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8">
        <v>45838</v>
      </c>
      <c r="BX148" s="2"/>
      <c r="BY148" s="2" t="s">
        <v>1803</v>
      </c>
      <c r="BZ148" s="2"/>
      <c r="CA148" s="14">
        <f t="shared" si="18"/>
        <v>100000</v>
      </c>
      <c r="CB148" s="2" t="str">
        <f t="shared" si="19"/>
        <v>OK</v>
      </c>
      <c r="CC148" s="13">
        <f t="shared" si="20"/>
        <v>0</v>
      </c>
    </row>
    <row r="149" spans="1:81" s="9" customFormat="1" ht="107.25" customHeight="1" x14ac:dyDescent="0.25">
      <c r="A149" s="64" t="s">
        <v>1300</v>
      </c>
      <c r="B149" s="2" t="s">
        <v>498</v>
      </c>
      <c r="C149" s="64" t="s">
        <v>379</v>
      </c>
      <c r="D149" s="65" t="s">
        <v>499</v>
      </c>
      <c r="E149" s="2"/>
      <c r="F149" s="64" t="s">
        <v>72</v>
      </c>
      <c r="G149" s="64" t="s">
        <v>1668</v>
      </c>
      <c r="H149" s="64" t="s">
        <v>66</v>
      </c>
      <c r="I149" s="64" t="s">
        <v>686</v>
      </c>
      <c r="J149" s="64" t="s">
        <v>1618</v>
      </c>
      <c r="K149" s="64" t="s">
        <v>384</v>
      </c>
      <c r="L149" s="66">
        <f>2981314.47-1250603.34</f>
        <v>1730711.1300000001</v>
      </c>
      <c r="M149" s="66">
        <f>1000000-100000-820387.29</f>
        <v>79612.709999999963</v>
      </c>
      <c r="N149" s="64" t="s">
        <v>381</v>
      </c>
      <c r="O149" s="7"/>
      <c r="P149" s="7"/>
      <c r="Q149" s="7"/>
      <c r="R149" s="7">
        <v>1000000</v>
      </c>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67">
        <v>46006</v>
      </c>
      <c r="BX149" s="2"/>
      <c r="BY149" s="64" t="s">
        <v>1803</v>
      </c>
      <c r="BZ149" s="8" t="s">
        <v>1745</v>
      </c>
      <c r="CA149" s="14">
        <f t="shared" si="18"/>
        <v>1000000</v>
      </c>
      <c r="CB149" s="2" t="str">
        <f t="shared" si="19"/>
        <v>CORRIGIR</v>
      </c>
      <c r="CC149" s="13">
        <f t="shared" si="20"/>
        <v>-920387.29</v>
      </c>
    </row>
    <row r="150" spans="1:81" s="9" customFormat="1" ht="99.75" customHeight="1" x14ac:dyDescent="0.25">
      <c r="A150" s="2" t="s">
        <v>1296</v>
      </c>
      <c r="B150" s="2" t="s">
        <v>484</v>
      </c>
      <c r="C150" s="2" t="s">
        <v>379</v>
      </c>
      <c r="D150" s="12" t="s">
        <v>1812</v>
      </c>
      <c r="E150" s="2"/>
      <c r="F150" s="2" t="s">
        <v>72</v>
      </c>
      <c r="G150" s="2" t="s">
        <v>1668</v>
      </c>
      <c r="H150" s="2" t="s">
        <v>66</v>
      </c>
      <c r="I150" s="2" t="s">
        <v>686</v>
      </c>
      <c r="J150" s="2" t="s">
        <v>1618</v>
      </c>
      <c r="K150" s="2" t="s">
        <v>67</v>
      </c>
      <c r="L150" s="22">
        <v>724027.58</v>
      </c>
      <c r="M150" s="22">
        <v>724027.58</v>
      </c>
      <c r="N150" s="2" t="s">
        <v>49</v>
      </c>
      <c r="O150" s="7"/>
      <c r="P150" s="7"/>
      <c r="Q150" s="7"/>
      <c r="R150" s="7"/>
      <c r="S150" s="7"/>
      <c r="T150" s="7"/>
      <c r="U150" s="7"/>
      <c r="V150" s="7"/>
      <c r="W150" s="7"/>
      <c r="X150" s="7"/>
      <c r="Y150" s="7"/>
      <c r="Z150" s="7"/>
      <c r="AA150" s="7"/>
      <c r="AB150" s="7"/>
      <c r="AC150" s="7"/>
      <c r="AD150" s="7"/>
      <c r="AE150" s="7"/>
      <c r="AF150" s="7"/>
      <c r="AG150" s="7"/>
      <c r="AH150" s="7">
        <v>724027.58</v>
      </c>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8">
        <v>45868</v>
      </c>
      <c r="BX150" s="2"/>
      <c r="BY150" s="2" t="s">
        <v>1803</v>
      </c>
      <c r="BZ150" s="8" t="s">
        <v>1749</v>
      </c>
      <c r="CA150" s="14">
        <f t="shared" si="18"/>
        <v>724027.58</v>
      </c>
      <c r="CB150" s="2" t="str">
        <f t="shared" si="19"/>
        <v>OK</v>
      </c>
      <c r="CC150" s="13">
        <f t="shared" si="20"/>
        <v>0</v>
      </c>
    </row>
    <row r="151" spans="1:81" s="9" customFormat="1" ht="102" customHeight="1" x14ac:dyDescent="0.25">
      <c r="A151" s="83" t="s">
        <v>1299</v>
      </c>
      <c r="B151" s="64" t="s">
        <v>511</v>
      </c>
      <c r="C151" s="64" t="s">
        <v>379</v>
      </c>
      <c r="D151" s="65" t="s">
        <v>1814</v>
      </c>
      <c r="E151" s="2"/>
      <c r="F151" s="64" t="s">
        <v>72</v>
      </c>
      <c r="G151" s="64" t="s">
        <v>1668</v>
      </c>
      <c r="H151" s="64" t="s">
        <v>66</v>
      </c>
      <c r="I151" s="64" t="s">
        <v>686</v>
      </c>
      <c r="J151" s="64" t="s">
        <v>1618</v>
      </c>
      <c r="K151" s="64" t="s">
        <v>384</v>
      </c>
      <c r="L151" s="66">
        <v>6419937.1500000004</v>
      </c>
      <c r="M151" s="93">
        <f>1500000-100000</f>
        <v>1400000</v>
      </c>
      <c r="N151" s="64" t="s">
        <v>381</v>
      </c>
      <c r="O151" s="7"/>
      <c r="P151" s="7"/>
      <c r="Q151" s="7"/>
      <c r="R151" s="7">
        <f>M151</f>
        <v>1400000</v>
      </c>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67">
        <v>45899</v>
      </c>
      <c r="BX151" s="2"/>
      <c r="BY151" s="64" t="s">
        <v>1803</v>
      </c>
      <c r="BZ151" s="2"/>
      <c r="CA151" s="14">
        <f t="shared" si="18"/>
        <v>1400000</v>
      </c>
      <c r="CB151" s="2" t="str">
        <f t="shared" si="19"/>
        <v>OK</v>
      </c>
      <c r="CC151" s="13">
        <f t="shared" si="20"/>
        <v>0</v>
      </c>
    </row>
    <row r="152" spans="1:81" s="9" customFormat="1" ht="84" customHeight="1" x14ac:dyDescent="0.25">
      <c r="A152" s="64" t="s">
        <v>1968</v>
      </c>
      <c r="B152" s="64" t="s">
        <v>1969</v>
      </c>
      <c r="C152" s="64" t="s">
        <v>379</v>
      </c>
      <c r="D152" s="65" t="s">
        <v>2064</v>
      </c>
      <c r="E152" s="2"/>
      <c r="F152" s="64" t="s">
        <v>72</v>
      </c>
      <c r="G152" s="64" t="s">
        <v>1668</v>
      </c>
      <c r="H152" s="64" t="s">
        <v>66</v>
      </c>
      <c r="I152" s="64" t="s">
        <v>686</v>
      </c>
      <c r="J152" s="64" t="s">
        <v>1618</v>
      </c>
      <c r="K152" s="64" t="s">
        <v>384</v>
      </c>
      <c r="L152" s="66">
        <f>2858498.91+148786.03</f>
        <v>3007284.94</v>
      </c>
      <c r="M152" s="66">
        <f>200000+554929.56</f>
        <v>754929.56</v>
      </c>
      <c r="N152" s="64" t="s">
        <v>11</v>
      </c>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67">
        <v>45899</v>
      </c>
      <c r="BX152" s="8"/>
      <c r="BY152" s="67" t="s">
        <v>1803</v>
      </c>
      <c r="BZ152" s="8" t="s">
        <v>1744</v>
      </c>
      <c r="CA152" s="14">
        <f t="shared" si="18"/>
        <v>0</v>
      </c>
      <c r="CB152" s="2" t="str">
        <f t="shared" si="19"/>
        <v>CORRIGIR</v>
      </c>
      <c r="CC152" s="13">
        <f t="shared" si="20"/>
        <v>754929.56</v>
      </c>
    </row>
    <row r="153" spans="1:81" s="9" customFormat="1" ht="88.5" customHeight="1" x14ac:dyDescent="0.25">
      <c r="A153" s="64" t="s">
        <v>1305</v>
      </c>
      <c r="B153" s="64" t="s">
        <v>487</v>
      </c>
      <c r="C153" s="64" t="s">
        <v>379</v>
      </c>
      <c r="D153" s="65" t="s">
        <v>2076</v>
      </c>
      <c r="E153" s="2"/>
      <c r="F153" s="64" t="s">
        <v>72</v>
      </c>
      <c r="G153" s="64" t="s">
        <v>1668</v>
      </c>
      <c r="H153" s="64" t="s">
        <v>66</v>
      </c>
      <c r="I153" s="64" t="s">
        <v>686</v>
      </c>
      <c r="J153" s="64" t="s">
        <v>1618</v>
      </c>
      <c r="K153" s="64" t="s">
        <v>384</v>
      </c>
      <c r="L153" s="66">
        <v>1164991.44</v>
      </c>
      <c r="M153" s="66">
        <f>1000000-100000+56251.6</f>
        <v>956251.6</v>
      </c>
      <c r="N153" s="64" t="s">
        <v>398</v>
      </c>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v>1000000</v>
      </c>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67">
        <v>45930</v>
      </c>
      <c r="BX153" s="2"/>
      <c r="BY153" s="64" t="s">
        <v>1803</v>
      </c>
      <c r="BZ153" s="2"/>
      <c r="CA153" s="14">
        <f t="shared" si="18"/>
        <v>1000000</v>
      </c>
      <c r="CB153" s="2" t="str">
        <f t="shared" si="19"/>
        <v>CORRIGIR</v>
      </c>
      <c r="CC153" s="13">
        <f t="shared" si="20"/>
        <v>-43748.400000000023</v>
      </c>
    </row>
    <row r="154" spans="1:81" s="9" customFormat="1" ht="92.25" customHeight="1" x14ac:dyDescent="0.25">
      <c r="A154" s="64" t="s">
        <v>1314</v>
      </c>
      <c r="B154" s="64" t="s">
        <v>520</v>
      </c>
      <c r="C154" s="64" t="s">
        <v>379</v>
      </c>
      <c r="D154" s="65" t="s">
        <v>521</v>
      </c>
      <c r="E154" s="2"/>
      <c r="F154" s="64" t="s">
        <v>72</v>
      </c>
      <c r="G154" s="64" t="s">
        <v>1668</v>
      </c>
      <c r="H154" s="64" t="s">
        <v>66</v>
      </c>
      <c r="I154" s="64" t="s">
        <v>686</v>
      </c>
      <c r="J154" s="64" t="s">
        <v>1618</v>
      </c>
      <c r="K154" s="64" t="s">
        <v>384</v>
      </c>
      <c r="L154" s="66">
        <v>1050000</v>
      </c>
      <c r="M154" s="66">
        <f>800000-50000-50000</f>
        <v>700000</v>
      </c>
      <c r="N154" s="64" t="s">
        <v>381</v>
      </c>
      <c r="O154" s="7"/>
      <c r="P154" s="7"/>
      <c r="Q154" s="7"/>
      <c r="R154" s="7">
        <f>M154</f>
        <v>700000</v>
      </c>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67">
        <v>45930</v>
      </c>
      <c r="BX154" s="2"/>
      <c r="BY154" s="64" t="s">
        <v>1803</v>
      </c>
      <c r="BZ154" s="8" t="s">
        <v>1746</v>
      </c>
      <c r="CA154" s="14">
        <f t="shared" si="18"/>
        <v>700000</v>
      </c>
      <c r="CB154" s="2" t="str">
        <f t="shared" si="19"/>
        <v>OK</v>
      </c>
      <c r="CC154" s="13">
        <f t="shared" si="20"/>
        <v>0</v>
      </c>
    </row>
    <row r="155" spans="1:81" s="9" customFormat="1" ht="92.25" customHeight="1" x14ac:dyDescent="0.25">
      <c r="A155" s="2" t="s">
        <v>1320</v>
      </c>
      <c r="B155" s="2" t="s">
        <v>496</v>
      </c>
      <c r="C155" s="2" t="s">
        <v>379</v>
      </c>
      <c r="D155" s="12" t="s">
        <v>497</v>
      </c>
      <c r="E155" s="2"/>
      <c r="F155" s="2" t="s">
        <v>72</v>
      </c>
      <c r="G155" s="2" t="s">
        <v>1668</v>
      </c>
      <c r="H155" s="2" t="s">
        <v>66</v>
      </c>
      <c r="I155" s="2" t="s">
        <v>686</v>
      </c>
      <c r="J155" s="2" t="s">
        <v>1618</v>
      </c>
      <c r="K155" s="2" t="s">
        <v>384</v>
      </c>
      <c r="L155" s="22">
        <v>9000000</v>
      </c>
      <c r="M155" s="22">
        <v>100000</v>
      </c>
      <c r="N155" s="2" t="s">
        <v>381</v>
      </c>
      <c r="O155" s="7"/>
      <c r="P155" s="7"/>
      <c r="Q155" s="7"/>
      <c r="R155" s="7">
        <v>100000</v>
      </c>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8">
        <v>45930</v>
      </c>
      <c r="BX155" s="2"/>
      <c r="BY155" s="2" t="s">
        <v>1803</v>
      </c>
      <c r="BZ155" s="2"/>
      <c r="CA155" s="14">
        <f t="shared" si="18"/>
        <v>100000</v>
      </c>
      <c r="CB155" s="2" t="str">
        <f t="shared" si="19"/>
        <v>OK</v>
      </c>
      <c r="CC155" s="13">
        <f t="shared" si="20"/>
        <v>0</v>
      </c>
    </row>
    <row r="156" spans="1:81" s="9" customFormat="1" ht="102.75" customHeight="1" x14ac:dyDescent="0.25">
      <c r="A156" s="64" t="s">
        <v>1310</v>
      </c>
      <c r="B156" s="57" t="s">
        <v>525</v>
      </c>
      <c r="C156" s="64" t="s">
        <v>379</v>
      </c>
      <c r="D156" s="65" t="s">
        <v>2073</v>
      </c>
      <c r="E156" s="57"/>
      <c r="F156" s="64" t="s">
        <v>72</v>
      </c>
      <c r="G156" s="64" t="s">
        <v>1668</v>
      </c>
      <c r="H156" s="64" t="s">
        <v>66</v>
      </c>
      <c r="I156" s="64" t="s">
        <v>686</v>
      </c>
      <c r="J156" s="64" t="s">
        <v>1618</v>
      </c>
      <c r="K156" s="64" t="s">
        <v>384</v>
      </c>
      <c r="L156" s="66">
        <f>1050000+106013.1</f>
        <v>1156013.1000000001</v>
      </c>
      <c r="M156" s="66">
        <f>900000-300000-464052.86</f>
        <v>135947.14000000001</v>
      </c>
      <c r="N156" s="64" t="s">
        <v>381</v>
      </c>
      <c r="O156" s="58"/>
      <c r="P156" s="58"/>
      <c r="Q156" s="58"/>
      <c r="R156" s="58">
        <f>M156</f>
        <v>135947.14000000001</v>
      </c>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c r="BO156" s="58"/>
      <c r="BP156" s="58"/>
      <c r="BQ156" s="58"/>
      <c r="BR156" s="58"/>
      <c r="BS156" s="58"/>
      <c r="BT156" s="58"/>
      <c r="BU156" s="58"/>
      <c r="BV156" s="58"/>
      <c r="BW156" s="67">
        <v>45960</v>
      </c>
      <c r="BX156" s="57"/>
      <c r="BY156" s="64" t="s">
        <v>1803</v>
      </c>
      <c r="BZ156" s="8" t="s">
        <v>1744</v>
      </c>
      <c r="CA156" s="14">
        <f t="shared" si="18"/>
        <v>135947.14000000001</v>
      </c>
      <c r="CB156" s="2" t="str">
        <f t="shared" si="19"/>
        <v>OK</v>
      </c>
      <c r="CC156" s="13">
        <f t="shared" si="20"/>
        <v>0</v>
      </c>
    </row>
    <row r="157" spans="1:81" s="9" customFormat="1" ht="100.5" customHeight="1" x14ac:dyDescent="0.25">
      <c r="A157" s="64" t="s">
        <v>1311</v>
      </c>
      <c r="B157" s="57" t="s">
        <v>543</v>
      </c>
      <c r="C157" s="64" t="s">
        <v>379</v>
      </c>
      <c r="D157" s="65" t="s">
        <v>544</v>
      </c>
      <c r="E157" s="57"/>
      <c r="F157" s="64" t="s">
        <v>72</v>
      </c>
      <c r="G157" s="64" t="s">
        <v>1668</v>
      </c>
      <c r="H157" s="64" t="s">
        <v>66</v>
      </c>
      <c r="I157" s="64" t="s">
        <v>686</v>
      </c>
      <c r="J157" s="64" t="s">
        <v>1618</v>
      </c>
      <c r="K157" s="64" t="s">
        <v>384</v>
      </c>
      <c r="L157" s="66">
        <v>1050000</v>
      </c>
      <c r="M157" s="66">
        <f>900000-300000</f>
        <v>600000</v>
      </c>
      <c r="N157" s="64" t="s">
        <v>381</v>
      </c>
      <c r="O157" s="58"/>
      <c r="P157" s="58"/>
      <c r="Q157" s="58"/>
      <c r="R157" s="58">
        <f>M157</f>
        <v>600000</v>
      </c>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c r="BO157" s="58"/>
      <c r="BP157" s="58"/>
      <c r="BQ157" s="58"/>
      <c r="BR157" s="58"/>
      <c r="BS157" s="58"/>
      <c r="BT157" s="58"/>
      <c r="BU157" s="58"/>
      <c r="BV157" s="58"/>
      <c r="BW157" s="67">
        <v>45960</v>
      </c>
      <c r="BX157" s="57"/>
      <c r="BY157" s="64" t="s">
        <v>1803</v>
      </c>
      <c r="BZ157" s="8" t="s">
        <v>1749</v>
      </c>
      <c r="CA157" s="14">
        <f t="shared" si="18"/>
        <v>600000</v>
      </c>
      <c r="CB157" s="2" t="str">
        <f t="shared" si="19"/>
        <v>OK</v>
      </c>
      <c r="CC157" s="13">
        <f t="shared" si="20"/>
        <v>0</v>
      </c>
    </row>
    <row r="158" spans="1:81" s="9" customFormat="1" ht="104.25" customHeight="1" x14ac:dyDescent="0.25">
      <c r="A158" s="64" t="s">
        <v>1321</v>
      </c>
      <c r="B158" s="2" t="s">
        <v>524</v>
      </c>
      <c r="C158" s="64" t="s">
        <v>379</v>
      </c>
      <c r="D158" s="65" t="s">
        <v>2067</v>
      </c>
      <c r="E158" s="2"/>
      <c r="F158" s="64" t="s">
        <v>72</v>
      </c>
      <c r="G158" s="64" t="s">
        <v>1668</v>
      </c>
      <c r="H158" s="64" t="s">
        <v>66</v>
      </c>
      <c r="I158" s="64" t="s">
        <v>686</v>
      </c>
      <c r="J158" s="64" t="s">
        <v>1618</v>
      </c>
      <c r="K158" s="64" t="s">
        <v>384</v>
      </c>
      <c r="L158" s="66">
        <f>3000000+882189.66</f>
        <v>3882189.66</v>
      </c>
      <c r="M158" s="66">
        <f>600000-426077.9</f>
        <v>173922.09999999998</v>
      </c>
      <c r="N158" s="64" t="s">
        <v>381</v>
      </c>
      <c r="O158" s="7"/>
      <c r="P158" s="7"/>
      <c r="Q158" s="7"/>
      <c r="R158" s="7">
        <f>M158</f>
        <v>173922.09999999998</v>
      </c>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67">
        <v>45960</v>
      </c>
      <c r="BX158" s="2"/>
      <c r="BY158" s="64" t="s">
        <v>1803</v>
      </c>
      <c r="BZ158" s="8" t="s">
        <v>1744</v>
      </c>
      <c r="CA158" s="14">
        <f t="shared" si="18"/>
        <v>173922.09999999998</v>
      </c>
      <c r="CB158" s="2" t="str">
        <f t="shared" si="19"/>
        <v>OK</v>
      </c>
      <c r="CC158" s="13">
        <f t="shared" si="20"/>
        <v>0</v>
      </c>
    </row>
    <row r="159" spans="1:81" s="9" customFormat="1" ht="103.5" customHeight="1" x14ac:dyDescent="0.25">
      <c r="A159" s="2" t="s">
        <v>1325</v>
      </c>
      <c r="B159" s="2" t="s">
        <v>537</v>
      </c>
      <c r="C159" s="2" t="s">
        <v>379</v>
      </c>
      <c r="D159" s="12" t="s">
        <v>1831</v>
      </c>
      <c r="E159" s="2"/>
      <c r="F159" s="2" t="s">
        <v>72</v>
      </c>
      <c r="G159" s="2" t="s">
        <v>1668</v>
      </c>
      <c r="H159" s="2" t="s">
        <v>66</v>
      </c>
      <c r="I159" s="2" t="s">
        <v>686</v>
      </c>
      <c r="J159" s="2" t="s">
        <v>1618</v>
      </c>
      <c r="K159" s="2" t="s">
        <v>384</v>
      </c>
      <c r="L159" s="22">
        <v>1050000</v>
      </c>
      <c r="M159" s="22">
        <v>600000</v>
      </c>
      <c r="N159" s="2" t="s">
        <v>381</v>
      </c>
      <c r="O159" s="7"/>
      <c r="P159" s="7"/>
      <c r="Q159" s="7"/>
      <c r="R159" s="7">
        <f>M159</f>
        <v>600000</v>
      </c>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8">
        <v>45960</v>
      </c>
      <c r="BX159" s="2"/>
      <c r="BY159" s="2" t="s">
        <v>1803</v>
      </c>
      <c r="BZ159" s="8" t="s">
        <v>1749</v>
      </c>
      <c r="CA159" s="14">
        <f t="shared" si="18"/>
        <v>600000</v>
      </c>
      <c r="CB159" s="2" t="str">
        <f t="shared" si="19"/>
        <v>OK</v>
      </c>
      <c r="CC159" s="13">
        <f t="shared" si="20"/>
        <v>0</v>
      </c>
    </row>
    <row r="160" spans="1:81" s="9" customFormat="1" ht="90.75" customHeight="1" x14ac:dyDescent="0.25">
      <c r="A160" s="64" t="s">
        <v>1326</v>
      </c>
      <c r="B160" s="57" t="s">
        <v>540</v>
      </c>
      <c r="C160" s="64" t="s">
        <v>379</v>
      </c>
      <c r="D160" s="65" t="s">
        <v>1830</v>
      </c>
      <c r="E160" s="57"/>
      <c r="F160" s="64" t="s">
        <v>72</v>
      </c>
      <c r="G160" s="64" t="s">
        <v>1668</v>
      </c>
      <c r="H160" s="64" t="s">
        <v>66</v>
      </c>
      <c r="I160" s="64" t="s">
        <v>686</v>
      </c>
      <c r="J160" s="64" t="s">
        <v>1618</v>
      </c>
      <c r="K160" s="64" t="s">
        <v>384</v>
      </c>
      <c r="L160" s="66">
        <v>1050000</v>
      </c>
      <c r="M160" s="66">
        <f>600000-128561.98-50000-50000</f>
        <v>371438.02</v>
      </c>
      <c r="N160" s="64" t="s">
        <v>23</v>
      </c>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c r="AS160" s="58"/>
      <c r="AT160" s="58">
        <f>M160</f>
        <v>371438.02</v>
      </c>
      <c r="AU160" s="58"/>
      <c r="AV160" s="58"/>
      <c r="AW160" s="58"/>
      <c r="AX160" s="58"/>
      <c r="AY160" s="58"/>
      <c r="AZ160" s="58"/>
      <c r="BA160" s="58"/>
      <c r="BB160" s="58"/>
      <c r="BC160" s="58"/>
      <c r="BD160" s="58"/>
      <c r="BE160" s="58"/>
      <c r="BF160" s="58"/>
      <c r="BG160" s="58"/>
      <c r="BH160" s="58"/>
      <c r="BI160" s="58"/>
      <c r="BJ160" s="58"/>
      <c r="BK160" s="58"/>
      <c r="BL160" s="58"/>
      <c r="BM160" s="58"/>
      <c r="BN160" s="58"/>
      <c r="BO160" s="58"/>
      <c r="BP160" s="58"/>
      <c r="BQ160" s="58"/>
      <c r="BR160" s="58"/>
      <c r="BS160" s="58"/>
      <c r="BT160" s="58"/>
      <c r="BU160" s="58"/>
      <c r="BV160" s="58"/>
      <c r="BW160" s="67">
        <v>45960</v>
      </c>
      <c r="BX160" s="57"/>
      <c r="BY160" s="64" t="s">
        <v>1803</v>
      </c>
      <c r="BZ160" s="8" t="s">
        <v>1744</v>
      </c>
      <c r="CA160" s="14">
        <f t="shared" si="18"/>
        <v>371438.02</v>
      </c>
      <c r="CB160" s="2" t="str">
        <f t="shared" si="19"/>
        <v>OK</v>
      </c>
      <c r="CC160" s="13">
        <f t="shared" si="20"/>
        <v>0</v>
      </c>
    </row>
    <row r="161" spans="1:81" s="9" customFormat="1" ht="102" customHeight="1" x14ac:dyDescent="0.25">
      <c r="A161" s="64" t="s">
        <v>2015</v>
      </c>
      <c r="B161" s="57"/>
      <c r="C161" s="64" t="s">
        <v>379</v>
      </c>
      <c r="D161" s="65" t="s">
        <v>2016</v>
      </c>
      <c r="E161" s="57"/>
      <c r="F161" s="64" t="s">
        <v>72</v>
      </c>
      <c r="G161" s="64" t="s">
        <v>1668</v>
      </c>
      <c r="H161" s="64" t="s">
        <v>66</v>
      </c>
      <c r="I161" s="64" t="s">
        <v>686</v>
      </c>
      <c r="J161" s="64" t="s">
        <v>1618</v>
      </c>
      <c r="K161" s="64" t="s">
        <v>384</v>
      </c>
      <c r="L161" s="66">
        <v>2907493.92</v>
      </c>
      <c r="M161" s="93">
        <f>100000+330599.85</f>
        <v>430599.85</v>
      </c>
      <c r="N161" s="64" t="s">
        <v>381</v>
      </c>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c r="BJ161" s="58"/>
      <c r="BK161" s="58"/>
      <c r="BL161" s="58"/>
      <c r="BM161" s="58"/>
      <c r="BN161" s="58"/>
      <c r="BO161" s="58"/>
      <c r="BP161" s="58"/>
      <c r="BQ161" s="58"/>
      <c r="BR161" s="58"/>
      <c r="BS161" s="58"/>
      <c r="BT161" s="58"/>
      <c r="BU161" s="58"/>
      <c r="BV161" s="58"/>
      <c r="BW161" s="67">
        <v>45960</v>
      </c>
      <c r="BX161" s="57"/>
      <c r="BY161" s="64" t="s">
        <v>1803</v>
      </c>
      <c r="BZ161" s="8" t="s">
        <v>1749</v>
      </c>
      <c r="CA161" s="14">
        <f t="shared" si="18"/>
        <v>0</v>
      </c>
      <c r="CB161" s="2" t="str">
        <f t="shared" si="19"/>
        <v>CORRIGIR</v>
      </c>
      <c r="CC161" s="13">
        <f t="shared" si="20"/>
        <v>430599.85</v>
      </c>
    </row>
    <row r="162" spans="1:81" s="9" customFormat="1" ht="80.25" customHeight="1" x14ac:dyDescent="0.25">
      <c r="A162" s="64" t="s">
        <v>1324</v>
      </c>
      <c r="B162" s="64" t="s">
        <v>531</v>
      </c>
      <c r="C162" s="64" t="s">
        <v>379</v>
      </c>
      <c r="D162" s="65" t="s">
        <v>2066</v>
      </c>
      <c r="E162" s="2"/>
      <c r="F162" s="64" t="s">
        <v>72</v>
      </c>
      <c r="G162" s="64" t="s">
        <v>1668</v>
      </c>
      <c r="H162" s="64" t="s">
        <v>66</v>
      </c>
      <c r="I162" s="64" t="s">
        <v>686</v>
      </c>
      <c r="J162" s="64" t="s">
        <v>1618</v>
      </c>
      <c r="K162" s="64" t="s">
        <v>384</v>
      </c>
      <c r="L162" s="66">
        <f>1050000+740815.11</f>
        <v>1790815.1099999999</v>
      </c>
      <c r="M162" s="66">
        <f>600000-7744.03-376288.49-163675.68</f>
        <v>52291.799999999988</v>
      </c>
      <c r="N162" s="64" t="s">
        <v>398</v>
      </c>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f>M162</f>
        <v>52291.799999999988</v>
      </c>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67">
        <v>45989</v>
      </c>
      <c r="BX162" s="2"/>
      <c r="BY162" s="64" t="s">
        <v>1803</v>
      </c>
      <c r="BZ162" s="8" t="s">
        <v>1749</v>
      </c>
      <c r="CA162" s="14">
        <f t="shared" si="18"/>
        <v>52291.799999999988</v>
      </c>
      <c r="CB162" s="2" t="str">
        <f t="shared" si="19"/>
        <v>OK</v>
      </c>
      <c r="CC162" s="13">
        <f t="shared" si="20"/>
        <v>0</v>
      </c>
    </row>
    <row r="163" spans="1:81" s="9" customFormat="1" ht="102.75" customHeight="1" x14ac:dyDescent="0.25">
      <c r="A163" s="64" t="s">
        <v>1319</v>
      </c>
      <c r="B163" s="64" t="s">
        <v>452</v>
      </c>
      <c r="C163" s="64" t="s">
        <v>379</v>
      </c>
      <c r="D163" s="65" t="s">
        <v>1960</v>
      </c>
      <c r="E163" s="2"/>
      <c r="F163" s="64" t="s">
        <v>72</v>
      </c>
      <c r="G163" s="64" t="s">
        <v>1668</v>
      </c>
      <c r="H163" s="64" t="s">
        <v>66</v>
      </c>
      <c r="I163" s="64" t="s">
        <v>686</v>
      </c>
      <c r="J163" s="64" t="s">
        <v>1618</v>
      </c>
      <c r="K163" s="64" t="s">
        <v>384</v>
      </c>
      <c r="L163" s="66">
        <v>650000</v>
      </c>
      <c r="M163" s="66">
        <f>650000-50000-50000</f>
        <v>550000</v>
      </c>
      <c r="N163" s="64" t="s">
        <v>381</v>
      </c>
      <c r="O163" s="7"/>
      <c r="P163" s="7"/>
      <c r="Q163" s="7"/>
      <c r="R163" s="7">
        <v>650000</v>
      </c>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67">
        <v>45989</v>
      </c>
      <c r="BX163" s="2"/>
      <c r="BY163" s="64" t="s">
        <v>1803</v>
      </c>
      <c r="BZ163" s="2"/>
      <c r="CA163" s="14">
        <f t="shared" si="18"/>
        <v>650000</v>
      </c>
      <c r="CB163" s="2" t="str">
        <f t="shared" si="19"/>
        <v>CORRIGIR</v>
      </c>
      <c r="CC163" s="13">
        <f t="shared" si="20"/>
        <v>-100000</v>
      </c>
    </row>
    <row r="164" spans="1:81" s="9" customFormat="1" ht="103.5" customHeight="1" x14ac:dyDescent="0.25">
      <c r="A164" s="64" t="s">
        <v>1323</v>
      </c>
      <c r="B164" s="64" t="s">
        <v>529</v>
      </c>
      <c r="C164" s="64" t="s">
        <v>379</v>
      </c>
      <c r="D164" s="65" t="s">
        <v>2078</v>
      </c>
      <c r="E164" s="2"/>
      <c r="F164" s="64" t="s">
        <v>72</v>
      </c>
      <c r="G164" s="64" t="s">
        <v>1668</v>
      </c>
      <c r="H164" s="64" t="s">
        <v>66</v>
      </c>
      <c r="I164" s="64" t="s">
        <v>686</v>
      </c>
      <c r="J164" s="64" t="s">
        <v>1618</v>
      </c>
      <c r="K164" s="64" t="s">
        <v>384</v>
      </c>
      <c r="L164" s="66">
        <f>1050000+263792.83</f>
        <v>1313792.83</v>
      </c>
      <c r="M164" s="66">
        <f>600000-547185.53</f>
        <v>52814.469999999972</v>
      </c>
      <c r="N164" s="64" t="s">
        <v>381</v>
      </c>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f>M164</f>
        <v>52814.469999999972</v>
      </c>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67">
        <v>45989</v>
      </c>
      <c r="BX164" s="2"/>
      <c r="BY164" s="64" t="s">
        <v>1803</v>
      </c>
      <c r="BZ164" s="2" t="s">
        <v>1746</v>
      </c>
      <c r="CA164" s="14">
        <f t="shared" si="18"/>
        <v>52814.469999999972</v>
      </c>
      <c r="CB164" s="2" t="str">
        <f t="shared" si="19"/>
        <v>OK</v>
      </c>
      <c r="CC164" s="13">
        <f t="shared" si="20"/>
        <v>0</v>
      </c>
    </row>
    <row r="165" spans="1:81" s="9" customFormat="1" ht="100.5" customHeight="1" x14ac:dyDescent="0.25">
      <c r="A165" s="2" t="s">
        <v>1322</v>
      </c>
      <c r="B165" s="2" t="s">
        <v>535</v>
      </c>
      <c r="C165" s="2" t="s">
        <v>379</v>
      </c>
      <c r="D165" s="12" t="s">
        <v>536</v>
      </c>
      <c r="E165" s="2"/>
      <c r="F165" s="2" t="s">
        <v>72</v>
      </c>
      <c r="G165" s="2" t="s">
        <v>1668</v>
      </c>
      <c r="H165" s="2" t="s">
        <v>66</v>
      </c>
      <c r="I165" s="2" t="s">
        <v>686</v>
      </c>
      <c r="J165" s="2" t="s">
        <v>1618</v>
      </c>
      <c r="K165" s="2" t="s">
        <v>384</v>
      </c>
      <c r="L165" s="22">
        <v>1750000</v>
      </c>
      <c r="M165" s="22">
        <v>600000</v>
      </c>
      <c r="N165" s="2" t="s">
        <v>381</v>
      </c>
      <c r="O165" s="7"/>
      <c r="P165" s="7"/>
      <c r="Q165" s="7"/>
      <c r="R165" s="7">
        <f>M165</f>
        <v>600000</v>
      </c>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8">
        <v>45989</v>
      </c>
      <c r="BX165" s="2"/>
      <c r="BY165" s="2" t="s">
        <v>1803</v>
      </c>
      <c r="BZ165" s="2" t="s">
        <v>1745</v>
      </c>
      <c r="CA165" s="14">
        <f t="shared" si="18"/>
        <v>600000</v>
      </c>
      <c r="CB165" s="2" t="str">
        <f t="shared" si="19"/>
        <v>OK</v>
      </c>
      <c r="CC165" s="13">
        <f t="shared" si="20"/>
        <v>0</v>
      </c>
    </row>
    <row r="166" spans="1:81" s="9" customFormat="1" ht="101.25" customHeight="1" x14ac:dyDescent="0.25">
      <c r="A166" s="2" t="s">
        <v>1328</v>
      </c>
      <c r="B166" s="2" t="s">
        <v>538</v>
      </c>
      <c r="C166" s="2" t="s">
        <v>379</v>
      </c>
      <c r="D166" s="12" t="s">
        <v>539</v>
      </c>
      <c r="E166" s="2"/>
      <c r="F166" s="2" t="s">
        <v>72</v>
      </c>
      <c r="G166" s="2" t="s">
        <v>1668</v>
      </c>
      <c r="H166" s="2" t="s">
        <v>66</v>
      </c>
      <c r="I166" s="2" t="s">
        <v>686</v>
      </c>
      <c r="J166" s="2" t="s">
        <v>1618</v>
      </c>
      <c r="K166" s="2" t="s">
        <v>384</v>
      </c>
      <c r="L166" s="22">
        <v>1050000</v>
      </c>
      <c r="M166" s="22">
        <v>100000</v>
      </c>
      <c r="N166" s="2" t="s">
        <v>381</v>
      </c>
      <c r="O166" s="7"/>
      <c r="P166" s="7"/>
      <c r="Q166" s="7"/>
      <c r="R166" s="7">
        <f>M166</f>
        <v>100000</v>
      </c>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8">
        <v>45989</v>
      </c>
      <c r="BX166" s="2"/>
      <c r="BY166" s="2" t="s">
        <v>1803</v>
      </c>
      <c r="BZ166" s="8" t="s">
        <v>1746</v>
      </c>
      <c r="CA166" s="14">
        <f t="shared" si="18"/>
        <v>100000</v>
      </c>
      <c r="CB166" s="2" t="str">
        <f t="shared" si="19"/>
        <v>OK</v>
      </c>
      <c r="CC166" s="13">
        <f t="shared" si="20"/>
        <v>0</v>
      </c>
    </row>
    <row r="167" spans="1:81" s="9" customFormat="1" ht="108" customHeight="1" x14ac:dyDescent="0.25">
      <c r="A167" s="64" t="s">
        <v>1359</v>
      </c>
      <c r="B167" s="2" t="s">
        <v>512</v>
      </c>
      <c r="C167" s="64" t="s">
        <v>379</v>
      </c>
      <c r="D167" s="65" t="s">
        <v>513</v>
      </c>
      <c r="E167" s="2"/>
      <c r="F167" s="64" t="s">
        <v>72</v>
      </c>
      <c r="G167" s="64" t="s">
        <v>1668</v>
      </c>
      <c r="H167" s="64" t="s">
        <v>66</v>
      </c>
      <c r="I167" s="64" t="s">
        <v>686</v>
      </c>
      <c r="J167" s="64" t="s">
        <v>1618</v>
      </c>
      <c r="K167" s="64" t="s">
        <v>384</v>
      </c>
      <c r="L167" s="66">
        <v>1050000</v>
      </c>
      <c r="M167" s="66">
        <f>1000000-100000</f>
        <v>900000</v>
      </c>
      <c r="N167" s="64" t="s">
        <v>381</v>
      </c>
      <c r="O167" s="7"/>
      <c r="P167" s="7"/>
      <c r="Q167" s="7"/>
      <c r="R167" s="7">
        <f>M167</f>
        <v>900000</v>
      </c>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67">
        <v>45989</v>
      </c>
      <c r="BX167" s="2"/>
      <c r="BY167" s="64" t="s">
        <v>1803</v>
      </c>
      <c r="BZ167" s="8" t="s">
        <v>1749</v>
      </c>
      <c r="CA167" s="14">
        <f t="shared" si="18"/>
        <v>900000</v>
      </c>
      <c r="CB167" s="2" t="str">
        <f t="shared" si="19"/>
        <v>OK</v>
      </c>
      <c r="CC167" s="13">
        <f t="shared" si="20"/>
        <v>0</v>
      </c>
    </row>
    <row r="168" spans="1:81" s="9" customFormat="1" ht="98.25" customHeight="1" x14ac:dyDescent="0.25">
      <c r="A168" s="2" t="s">
        <v>1360</v>
      </c>
      <c r="B168" s="2" t="s">
        <v>485</v>
      </c>
      <c r="C168" s="2" t="s">
        <v>379</v>
      </c>
      <c r="D168" s="12" t="s">
        <v>486</v>
      </c>
      <c r="E168" s="2"/>
      <c r="F168" s="2" t="s">
        <v>72</v>
      </c>
      <c r="G168" s="2" t="s">
        <v>1668</v>
      </c>
      <c r="H168" s="2" t="s">
        <v>66</v>
      </c>
      <c r="I168" s="2" t="s">
        <v>686</v>
      </c>
      <c r="J168" s="2" t="s">
        <v>1618</v>
      </c>
      <c r="K168" s="2" t="s">
        <v>384</v>
      </c>
      <c r="L168" s="22">
        <v>15000000</v>
      </c>
      <c r="M168" s="22">
        <v>100000</v>
      </c>
      <c r="N168" s="2" t="s">
        <v>381</v>
      </c>
      <c r="O168" s="7"/>
      <c r="P168" s="7"/>
      <c r="Q168" s="7"/>
      <c r="R168" s="7">
        <v>100000</v>
      </c>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8">
        <v>45989</v>
      </c>
      <c r="BX168" s="2"/>
      <c r="BY168" s="2" t="s">
        <v>1803</v>
      </c>
      <c r="BZ168" s="2" t="s">
        <v>1745</v>
      </c>
      <c r="CA168" s="14">
        <f t="shared" si="18"/>
        <v>100000</v>
      </c>
      <c r="CB168" s="2" t="str">
        <f t="shared" si="19"/>
        <v>OK</v>
      </c>
      <c r="CC168" s="13">
        <f t="shared" si="20"/>
        <v>0</v>
      </c>
    </row>
    <row r="169" spans="1:81" s="9" customFormat="1" ht="99" customHeight="1" x14ac:dyDescent="0.25">
      <c r="A169" s="64" t="s">
        <v>1978</v>
      </c>
      <c r="B169" s="64" t="s">
        <v>1979</v>
      </c>
      <c r="C169" s="64" t="s">
        <v>379</v>
      </c>
      <c r="D169" s="65" t="s">
        <v>1980</v>
      </c>
      <c r="E169" s="2"/>
      <c r="F169" s="64" t="s">
        <v>72</v>
      </c>
      <c r="G169" s="64" t="s">
        <v>1668</v>
      </c>
      <c r="H169" s="64" t="s">
        <v>66</v>
      </c>
      <c r="I169" s="64" t="s">
        <v>686</v>
      </c>
      <c r="J169" s="64" t="s">
        <v>1618</v>
      </c>
      <c r="K169" s="64" t="s">
        <v>384</v>
      </c>
      <c r="L169" s="66">
        <f>(17112390.44+338804.77)</f>
        <v>17451195.210000001</v>
      </c>
      <c r="M169" s="66">
        <f>(100000+318238.23)</f>
        <v>418238.23</v>
      </c>
      <c r="N169" s="64" t="s">
        <v>381</v>
      </c>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67">
        <v>45991</v>
      </c>
      <c r="BX169" s="8"/>
      <c r="BY169" s="64" t="s">
        <v>1803</v>
      </c>
      <c r="BZ169" s="2" t="s">
        <v>1745</v>
      </c>
      <c r="CA169" s="14">
        <f t="shared" si="18"/>
        <v>0</v>
      </c>
      <c r="CB169" s="2" t="str">
        <f t="shared" si="19"/>
        <v>CORRIGIR</v>
      </c>
      <c r="CC169" s="13">
        <f t="shared" si="20"/>
        <v>418238.23</v>
      </c>
    </row>
    <row r="170" spans="1:81" s="9" customFormat="1" ht="102.75" customHeight="1" x14ac:dyDescent="0.25">
      <c r="A170" s="64" t="s">
        <v>1981</v>
      </c>
      <c r="B170" s="64" t="s">
        <v>1982</v>
      </c>
      <c r="C170" s="64" t="s">
        <v>379</v>
      </c>
      <c r="D170" s="65" t="s">
        <v>1983</v>
      </c>
      <c r="E170" s="2"/>
      <c r="F170" s="64" t="s">
        <v>72</v>
      </c>
      <c r="G170" s="64" t="s">
        <v>1668</v>
      </c>
      <c r="H170" s="64" t="s">
        <v>66</v>
      </c>
      <c r="I170" s="64" t="s">
        <v>686</v>
      </c>
      <c r="J170" s="64" t="s">
        <v>1618</v>
      </c>
      <c r="K170" s="64" t="s">
        <v>384</v>
      </c>
      <c r="L170" s="66">
        <v>22000000</v>
      </c>
      <c r="M170" s="66">
        <v>100000</v>
      </c>
      <c r="N170" s="64" t="s">
        <v>381</v>
      </c>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67">
        <v>45991</v>
      </c>
      <c r="BX170" s="8"/>
      <c r="BY170" s="64" t="s">
        <v>1803</v>
      </c>
      <c r="BZ170" s="2" t="s">
        <v>1745</v>
      </c>
      <c r="CA170" s="14">
        <f t="shared" si="18"/>
        <v>0</v>
      </c>
      <c r="CB170" s="2" t="str">
        <f t="shared" si="19"/>
        <v>CORRIGIR</v>
      </c>
      <c r="CC170" s="13">
        <f t="shared" si="20"/>
        <v>100000</v>
      </c>
    </row>
    <row r="171" spans="1:81" s="9" customFormat="1" ht="81" customHeight="1" x14ac:dyDescent="0.25">
      <c r="A171" s="64" t="s">
        <v>1984</v>
      </c>
      <c r="B171" s="64" t="s">
        <v>1985</v>
      </c>
      <c r="C171" s="64" t="s">
        <v>379</v>
      </c>
      <c r="D171" s="65" t="s">
        <v>2137</v>
      </c>
      <c r="E171" s="2"/>
      <c r="F171" s="64" t="s">
        <v>72</v>
      </c>
      <c r="G171" s="64" t="s">
        <v>1668</v>
      </c>
      <c r="H171" s="64" t="s">
        <v>66</v>
      </c>
      <c r="I171" s="64" t="s">
        <v>686</v>
      </c>
      <c r="J171" s="64" t="s">
        <v>1618</v>
      </c>
      <c r="K171" s="64" t="s">
        <v>384</v>
      </c>
      <c r="L171" s="66">
        <f>20138491.78+344270.77</f>
        <v>20482762.550000001</v>
      </c>
      <c r="M171" s="66">
        <f>100000+294983.82</f>
        <v>394983.82</v>
      </c>
      <c r="N171" s="64" t="s">
        <v>2138</v>
      </c>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67">
        <v>45991</v>
      </c>
      <c r="BX171" s="8"/>
      <c r="BY171" s="64" t="s">
        <v>1803</v>
      </c>
      <c r="BZ171" s="2" t="s">
        <v>1745</v>
      </c>
      <c r="CA171" s="14">
        <f t="shared" si="18"/>
        <v>0</v>
      </c>
      <c r="CB171" s="2" t="str">
        <f t="shared" si="19"/>
        <v>CORRIGIR</v>
      </c>
      <c r="CC171" s="13">
        <f t="shared" si="20"/>
        <v>394983.82</v>
      </c>
    </row>
    <row r="172" spans="1:81" s="9" customFormat="1" ht="97.5" customHeight="1" x14ac:dyDescent="0.25">
      <c r="A172" s="64" t="s">
        <v>1992</v>
      </c>
      <c r="B172" s="2"/>
      <c r="C172" s="64" t="s">
        <v>379</v>
      </c>
      <c r="D172" s="65" t="s">
        <v>2006</v>
      </c>
      <c r="E172" s="2"/>
      <c r="F172" s="64" t="s">
        <v>72</v>
      </c>
      <c r="G172" s="64" t="s">
        <v>1668</v>
      </c>
      <c r="H172" s="64" t="s">
        <v>66</v>
      </c>
      <c r="I172" s="64" t="s">
        <v>686</v>
      </c>
      <c r="J172" s="64" t="s">
        <v>1618</v>
      </c>
      <c r="K172" s="64" t="s">
        <v>384</v>
      </c>
      <c r="L172" s="66">
        <v>5000000</v>
      </c>
      <c r="M172" s="66">
        <v>100000</v>
      </c>
      <c r="N172" s="64" t="s">
        <v>381</v>
      </c>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67">
        <v>45991</v>
      </c>
      <c r="BX172" s="8"/>
      <c r="BY172" s="67" t="s">
        <v>1803</v>
      </c>
      <c r="BZ172" s="8" t="s">
        <v>1744</v>
      </c>
      <c r="CA172" s="14">
        <f t="shared" si="18"/>
        <v>0</v>
      </c>
      <c r="CB172" s="2" t="str">
        <f t="shared" si="19"/>
        <v>CORRIGIR</v>
      </c>
      <c r="CC172" s="13">
        <f t="shared" si="20"/>
        <v>100000</v>
      </c>
    </row>
    <row r="173" spans="1:81" s="9" customFormat="1" ht="103.5" customHeight="1" x14ac:dyDescent="0.25">
      <c r="A173" s="64" t="s">
        <v>1998</v>
      </c>
      <c r="B173" s="2"/>
      <c r="C173" s="64" t="s">
        <v>379</v>
      </c>
      <c r="D173" s="65" t="s">
        <v>2065</v>
      </c>
      <c r="E173" s="2"/>
      <c r="F173" s="64" t="s">
        <v>72</v>
      </c>
      <c r="G173" s="64" t="s">
        <v>1668</v>
      </c>
      <c r="H173" s="64" t="s">
        <v>66</v>
      </c>
      <c r="I173" s="64" t="s">
        <v>686</v>
      </c>
      <c r="J173" s="64" t="s">
        <v>1618</v>
      </c>
      <c r="K173" s="64" t="s">
        <v>384</v>
      </c>
      <c r="L173" s="66">
        <v>19873370.68</v>
      </c>
      <c r="M173" s="66">
        <f>100000+376288.49</f>
        <v>476288.49</v>
      </c>
      <c r="N173" s="64" t="s">
        <v>381</v>
      </c>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67">
        <v>45991</v>
      </c>
      <c r="BX173" s="8"/>
      <c r="BY173" s="67" t="s">
        <v>1803</v>
      </c>
      <c r="BZ173" s="8" t="s">
        <v>1749</v>
      </c>
      <c r="CA173" s="14">
        <f t="shared" si="18"/>
        <v>0</v>
      </c>
      <c r="CB173" s="2" t="str">
        <f t="shared" si="19"/>
        <v>CORRIGIR</v>
      </c>
      <c r="CC173" s="13">
        <f t="shared" si="20"/>
        <v>476288.49</v>
      </c>
    </row>
    <row r="174" spans="1:81" s="9" customFormat="1" ht="106.5" customHeight="1" x14ac:dyDescent="0.25">
      <c r="A174" s="64" t="s">
        <v>1361</v>
      </c>
      <c r="B174" s="2" t="s">
        <v>430</v>
      </c>
      <c r="C174" s="64" t="s">
        <v>379</v>
      </c>
      <c r="D174" s="65" t="s">
        <v>1813</v>
      </c>
      <c r="E174" s="2"/>
      <c r="F174" s="64" t="s">
        <v>72</v>
      </c>
      <c r="G174" s="64" t="s">
        <v>1668</v>
      </c>
      <c r="H174" s="64" t="s">
        <v>66</v>
      </c>
      <c r="I174" s="64" t="s">
        <v>686</v>
      </c>
      <c r="J174" s="64" t="s">
        <v>1618</v>
      </c>
      <c r="K174" s="64" t="s">
        <v>384</v>
      </c>
      <c r="L174" s="66">
        <v>13209153</v>
      </c>
      <c r="M174" s="66">
        <f>100000+145232.03</f>
        <v>245232.03</v>
      </c>
      <c r="N174" s="64" t="s">
        <v>381</v>
      </c>
      <c r="O174" s="7"/>
      <c r="P174" s="7"/>
      <c r="Q174" s="7"/>
      <c r="R174" s="7">
        <v>100000</v>
      </c>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67">
        <v>45992</v>
      </c>
      <c r="BX174" s="2"/>
      <c r="BY174" s="64" t="s">
        <v>1803</v>
      </c>
      <c r="BZ174" s="2"/>
      <c r="CA174" s="14">
        <f t="shared" si="18"/>
        <v>100000</v>
      </c>
      <c r="CB174" s="2" t="str">
        <f t="shared" si="19"/>
        <v>CORRIGIR</v>
      </c>
      <c r="CC174" s="13">
        <f t="shared" si="20"/>
        <v>145232.03</v>
      </c>
    </row>
    <row r="175" spans="1:81" s="9" customFormat="1" ht="101.25" customHeight="1" x14ac:dyDescent="0.25">
      <c r="A175" s="2" t="s">
        <v>1367</v>
      </c>
      <c r="B175" s="2" t="s">
        <v>382</v>
      </c>
      <c r="C175" s="2" t="s">
        <v>379</v>
      </c>
      <c r="D175" s="12" t="s">
        <v>383</v>
      </c>
      <c r="E175" s="2"/>
      <c r="F175" s="2" t="s">
        <v>72</v>
      </c>
      <c r="G175" s="2" t="s">
        <v>1668</v>
      </c>
      <c r="H175" s="2" t="s">
        <v>66</v>
      </c>
      <c r="I175" s="2" t="s">
        <v>686</v>
      </c>
      <c r="J175" s="2" t="s">
        <v>1618</v>
      </c>
      <c r="K175" s="2" t="s">
        <v>384</v>
      </c>
      <c r="L175" s="22">
        <v>4500000</v>
      </c>
      <c r="M175" s="22">
        <v>100000</v>
      </c>
      <c r="N175" s="2" t="s">
        <v>11</v>
      </c>
      <c r="O175" s="7"/>
      <c r="P175" s="7"/>
      <c r="Q175" s="7"/>
      <c r="R175" s="7">
        <v>100000</v>
      </c>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8">
        <v>45992</v>
      </c>
      <c r="BX175" s="2"/>
      <c r="BY175" s="2" t="s">
        <v>1803</v>
      </c>
      <c r="BZ175" s="2" t="s">
        <v>1744</v>
      </c>
      <c r="CA175" s="14">
        <f t="shared" ref="CA175:CA182" si="21">SUM(O175:BV175)</f>
        <v>100000</v>
      </c>
      <c r="CB175" s="2" t="str">
        <f t="shared" ref="CB175:CB182" si="22">IF(M175=CA175,"OK","CORRIGIR")</f>
        <v>OK</v>
      </c>
      <c r="CC175" s="13">
        <f t="shared" ref="CC175:CC182" si="23">M175-CA175</f>
        <v>0</v>
      </c>
    </row>
    <row r="176" spans="1:81" s="9" customFormat="1" ht="109.5" customHeight="1" x14ac:dyDescent="0.25">
      <c r="A176" s="2" t="s">
        <v>1370</v>
      </c>
      <c r="B176" s="2" t="s">
        <v>410</v>
      </c>
      <c r="C176" s="2" t="s">
        <v>379</v>
      </c>
      <c r="D176" s="12" t="s">
        <v>411</v>
      </c>
      <c r="E176" s="2"/>
      <c r="F176" s="2" t="s">
        <v>72</v>
      </c>
      <c r="G176" s="2" t="s">
        <v>1668</v>
      </c>
      <c r="H176" s="2" t="s">
        <v>66</v>
      </c>
      <c r="I176" s="2" t="s">
        <v>686</v>
      </c>
      <c r="J176" s="2" t="s">
        <v>1618</v>
      </c>
      <c r="K176" s="2" t="s">
        <v>384</v>
      </c>
      <c r="L176" s="22">
        <v>4500000</v>
      </c>
      <c r="M176" s="22">
        <v>100000</v>
      </c>
      <c r="N176" s="2" t="s">
        <v>11</v>
      </c>
      <c r="O176" s="7"/>
      <c r="P176" s="7"/>
      <c r="Q176" s="7"/>
      <c r="R176" s="7"/>
      <c r="S176" s="7"/>
      <c r="T176" s="7"/>
      <c r="U176" s="7">
        <v>100000</v>
      </c>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8">
        <v>45992</v>
      </c>
      <c r="BX176" s="2"/>
      <c r="BY176" s="2" t="s">
        <v>1803</v>
      </c>
      <c r="BZ176" s="8" t="s">
        <v>1744</v>
      </c>
      <c r="CA176" s="14">
        <f t="shared" si="21"/>
        <v>100000</v>
      </c>
      <c r="CB176" s="2" t="str">
        <f t="shared" si="22"/>
        <v>OK</v>
      </c>
      <c r="CC176" s="13">
        <f t="shared" si="23"/>
        <v>0</v>
      </c>
    </row>
    <row r="177" spans="1:81" s="9" customFormat="1" ht="147.75" customHeight="1" x14ac:dyDescent="0.25">
      <c r="A177" s="2" t="s">
        <v>1306</v>
      </c>
      <c r="B177" s="2" t="s">
        <v>385</v>
      </c>
      <c r="C177" s="2" t="s">
        <v>379</v>
      </c>
      <c r="D177" s="12" t="s">
        <v>386</v>
      </c>
      <c r="E177" s="2"/>
      <c r="F177" s="2" t="s">
        <v>72</v>
      </c>
      <c r="G177" s="2" t="s">
        <v>1668</v>
      </c>
      <c r="H177" s="2" t="s">
        <v>66</v>
      </c>
      <c r="I177" s="2" t="s">
        <v>686</v>
      </c>
      <c r="J177" s="2" t="s">
        <v>1618</v>
      </c>
      <c r="K177" s="2" t="s">
        <v>384</v>
      </c>
      <c r="L177" s="22">
        <v>50000000</v>
      </c>
      <c r="M177" s="22">
        <v>1000000</v>
      </c>
      <c r="N177" s="2" t="s">
        <v>387</v>
      </c>
      <c r="O177" s="7"/>
      <c r="P177" s="7"/>
      <c r="Q177" s="7"/>
      <c r="R177" s="7">
        <v>1000000</v>
      </c>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8">
        <v>46006</v>
      </c>
      <c r="BX177" s="2"/>
      <c r="BY177" s="2" t="s">
        <v>1803</v>
      </c>
      <c r="BZ177" s="8" t="s">
        <v>1749</v>
      </c>
      <c r="CA177" s="14">
        <f t="shared" si="21"/>
        <v>1000000</v>
      </c>
      <c r="CB177" s="2" t="str">
        <f t="shared" si="22"/>
        <v>OK</v>
      </c>
      <c r="CC177" s="13">
        <f t="shared" si="23"/>
        <v>0</v>
      </c>
    </row>
    <row r="178" spans="1:81" s="9" customFormat="1" ht="101.25" customHeight="1" x14ac:dyDescent="0.25">
      <c r="A178" s="2" t="s">
        <v>1329</v>
      </c>
      <c r="B178" s="2" t="s">
        <v>502</v>
      </c>
      <c r="C178" s="2" t="s">
        <v>379</v>
      </c>
      <c r="D178" s="12" t="s">
        <v>1961</v>
      </c>
      <c r="E178" s="2"/>
      <c r="F178" s="2" t="s">
        <v>72</v>
      </c>
      <c r="G178" s="2" t="s">
        <v>1668</v>
      </c>
      <c r="H178" s="2" t="s">
        <v>66</v>
      </c>
      <c r="I178" s="2" t="s">
        <v>686</v>
      </c>
      <c r="J178" s="2" t="s">
        <v>1618</v>
      </c>
      <c r="K178" s="2" t="s">
        <v>384</v>
      </c>
      <c r="L178" s="22">
        <v>12000000</v>
      </c>
      <c r="M178" s="22">
        <v>100000</v>
      </c>
      <c r="N178" s="2" t="s">
        <v>504</v>
      </c>
      <c r="O178" s="7"/>
      <c r="P178" s="7"/>
      <c r="Q178" s="7"/>
      <c r="R178" s="7">
        <v>100000</v>
      </c>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8">
        <v>46006</v>
      </c>
      <c r="BX178" s="2"/>
      <c r="BY178" s="2" t="s">
        <v>1803</v>
      </c>
      <c r="BZ178" s="2"/>
      <c r="CA178" s="14">
        <f t="shared" si="21"/>
        <v>100000</v>
      </c>
      <c r="CB178" s="2" t="str">
        <f t="shared" si="22"/>
        <v>OK</v>
      </c>
      <c r="CC178" s="13">
        <f t="shared" si="23"/>
        <v>0</v>
      </c>
    </row>
    <row r="179" spans="1:81" s="9" customFormat="1" ht="109.5" customHeight="1" x14ac:dyDescent="0.25">
      <c r="A179" s="2" t="s">
        <v>1330</v>
      </c>
      <c r="B179" s="2" t="s">
        <v>489</v>
      </c>
      <c r="C179" s="2" t="s">
        <v>379</v>
      </c>
      <c r="D179" s="12" t="s">
        <v>490</v>
      </c>
      <c r="E179" s="2"/>
      <c r="F179" s="2" t="s">
        <v>72</v>
      </c>
      <c r="G179" s="2" t="s">
        <v>1668</v>
      </c>
      <c r="H179" s="2" t="s">
        <v>66</v>
      </c>
      <c r="I179" s="2" t="s">
        <v>686</v>
      </c>
      <c r="J179" s="2" t="s">
        <v>1618</v>
      </c>
      <c r="K179" s="2" t="s">
        <v>384</v>
      </c>
      <c r="L179" s="22">
        <v>6500000</v>
      </c>
      <c r="M179" s="22">
        <v>100000</v>
      </c>
      <c r="N179" s="2" t="s">
        <v>381</v>
      </c>
      <c r="O179" s="7"/>
      <c r="P179" s="7"/>
      <c r="Q179" s="7"/>
      <c r="R179" s="7">
        <v>100000</v>
      </c>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8">
        <v>46006</v>
      </c>
      <c r="BX179" s="2"/>
      <c r="BY179" s="2" t="s">
        <v>1803</v>
      </c>
      <c r="BZ179" s="2"/>
      <c r="CA179" s="14">
        <f t="shared" si="21"/>
        <v>100000</v>
      </c>
      <c r="CB179" s="2" t="str">
        <f t="shared" si="22"/>
        <v>OK</v>
      </c>
      <c r="CC179" s="13">
        <f t="shared" si="23"/>
        <v>0</v>
      </c>
    </row>
    <row r="180" spans="1:81" s="9" customFormat="1" ht="102" customHeight="1" x14ac:dyDescent="0.25">
      <c r="A180" s="2" t="s">
        <v>1353</v>
      </c>
      <c r="B180" s="2" t="s">
        <v>500</v>
      </c>
      <c r="C180" s="2" t="s">
        <v>379</v>
      </c>
      <c r="D180" s="12" t="s">
        <v>501</v>
      </c>
      <c r="E180" s="2"/>
      <c r="F180" s="2" t="s">
        <v>72</v>
      </c>
      <c r="G180" s="2" t="s">
        <v>1668</v>
      </c>
      <c r="H180" s="2" t="s">
        <v>66</v>
      </c>
      <c r="I180" s="2" t="s">
        <v>686</v>
      </c>
      <c r="J180" s="2" t="s">
        <v>1618</v>
      </c>
      <c r="K180" s="2" t="s">
        <v>384</v>
      </c>
      <c r="L180" s="22">
        <v>1650000</v>
      </c>
      <c r="M180" s="22">
        <v>100000</v>
      </c>
      <c r="N180" s="2" t="s">
        <v>381</v>
      </c>
      <c r="O180" s="7"/>
      <c r="P180" s="7"/>
      <c r="Q180" s="7"/>
      <c r="R180" s="7">
        <v>100000</v>
      </c>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8">
        <v>46006</v>
      </c>
      <c r="BX180" s="2"/>
      <c r="BY180" s="2" t="s">
        <v>1803</v>
      </c>
      <c r="BZ180" s="2"/>
      <c r="CA180" s="14">
        <f t="shared" si="21"/>
        <v>100000</v>
      </c>
      <c r="CB180" s="2" t="str">
        <f t="shared" si="22"/>
        <v>OK</v>
      </c>
      <c r="CC180" s="13">
        <f t="shared" si="23"/>
        <v>0</v>
      </c>
    </row>
    <row r="181" spans="1:81" s="9" customFormat="1" ht="102" customHeight="1" x14ac:dyDescent="0.25">
      <c r="A181" s="2" t="s">
        <v>1362</v>
      </c>
      <c r="B181" s="2" t="s">
        <v>457</v>
      </c>
      <c r="C181" s="2" t="s">
        <v>379</v>
      </c>
      <c r="D181" s="12" t="s">
        <v>458</v>
      </c>
      <c r="E181" s="2"/>
      <c r="F181" s="2" t="s">
        <v>72</v>
      </c>
      <c r="G181" s="2" t="s">
        <v>1668</v>
      </c>
      <c r="H181" s="2" t="s">
        <v>66</v>
      </c>
      <c r="I181" s="2" t="s">
        <v>686</v>
      </c>
      <c r="J181" s="2" t="s">
        <v>1618</v>
      </c>
      <c r="K181" s="2" t="s">
        <v>384</v>
      </c>
      <c r="L181" s="22">
        <v>9327441</v>
      </c>
      <c r="M181" s="22">
        <v>100000</v>
      </c>
      <c r="N181" s="2" t="s">
        <v>381</v>
      </c>
      <c r="O181" s="7"/>
      <c r="P181" s="7"/>
      <c r="Q181" s="7"/>
      <c r="R181" s="7">
        <v>100000</v>
      </c>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8">
        <v>46006</v>
      </c>
      <c r="BX181" s="2"/>
      <c r="BY181" s="2" t="s">
        <v>1803</v>
      </c>
      <c r="BZ181" s="2"/>
      <c r="CA181" s="14">
        <f t="shared" si="21"/>
        <v>100000</v>
      </c>
      <c r="CB181" s="2" t="str">
        <f t="shared" si="22"/>
        <v>OK</v>
      </c>
      <c r="CC181" s="13">
        <f t="shared" si="23"/>
        <v>0</v>
      </c>
    </row>
    <row r="182" spans="1:81" s="9" customFormat="1" ht="147" customHeight="1" x14ac:dyDescent="0.25">
      <c r="A182" s="2" t="s">
        <v>1268</v>
      </c>
      <c r="B182" s="2" t="s">
        <v>390</v>
      </c>
      <c r="C182" s="2" t="s">
        <v>379</v>
      </c>
      <c r="D182" s="12" t="s">
        <v>2159</v>
      </c>
      <c r="E182" s="2"/>
      <c r="F182" s="2" t="s">
        <v>72</v>
      </c>
      <c r="G182" s="2" t="s">
        <v>1668</v>
      </c>
      <c r="H182" s="2" t="s">
        <v>66</v>
      </c>
      <c r="I182" s="2" t="s">
        <v>686</v>
      </c>
      <c r="J182" s="2" t="s">
        <v>1618</v>
      </c>
      <c r="K182" s="2" t="s">
        <v>384</v>
      </c>
      <c r="L182" s="22">
        <f>12720845.72-4947172.13</f>
        <v>7773673.5900000008</v>
      </c>
      <c r="M182" s="22">
        <f>500000-500000</f>
        <v>0</v>
      </c>
      <c r="N182" s="2" t="s">
        <v>392</v>
      </c>
      <c r="O182" s="7"/>
      <c r="P182" s="7"/>
      <c r="Q182" s="7"/>
      <c r="R182" s="7">
        <v>500000</v>
      </c>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8">
        <v>46021</v>
      </c>
      <c r="BX182" s="2"/>
      <c r="BY182" s="2" t="s">
        <v>1803</v>
      </c>
      <c r="BZ182" s="2"/>
      <c r="CA182" s="14">
        <f t="shared" si="21"/>
        <v>500000</v>
      </c>
      <c r="CB182" s="2" t="str">
        <f t="shared" si="22"/>
        <v>CORRIGIR</v>
      </c>
      <c r="CC182" s="13">
        <f t="shared" si="23"/>
        <v>-500000</v>
      </c>
    </row>
    <row r="183" spans="1:81" s="9" customFormat="1" ht="111" customHeight="1" x14ac:dyDescent="0.25">
      <c r="A183" s="64" t="s">
        <v>2119</v>
      </c>
      <c r="B183" s="64" t="s">
        <v>2120</v>
      </c>
      <c r="C183" s="64" t="s">
        <v>379</v>
      </c>
      <c r="D183" s="65" t="s">
        <v>2121</v>
      </c>
      <c r="E183" s="2"/>
      <c r="F183" s="64" t="s">
        <v>72</v>
      </c>
      <c r="G183" s="64" t="s">
        <v>1668</v>
      </c>
      <c r="H183" s="64" t="s">
        <v>66</v>
      </c>
      <c r="I183" s="64" t="s">
        <v>686</v>
      </c>
      <c r="J183" s="64" t="s">
        <v>1618</v>
      </c>
      <c r="K183" s="64" t="s">
        <v>384</v>
      </c>
      <c r="L183" s="66">
        <v>2474103.6</v>
      </c>
      <c r="M183" s="66">
        <v>72243.83</v>
      </c>
      <c r="N183" s="64" t="s">
        <v>381</v>
      </c>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67">
        <v>46021</v>
      </c>
      <c r="BX183" s="2"/>
      <c r="BY183" s="64" t="s">
        <v>1803</v>
      </c>
      <c r="BZ183" s="2"/>
      <c r="CA183" s="14"/>
      <c r="CB183" s="2"/>
      <c r="CC183" s="13"/>
    </row>
    <row r="184" spans="1:81" s="9" customFormat="1" ht="54.75" customHeight="1" x14ac:dyDescent="0.25">
      <c r="A184" s="2" t="s">
        <v>1613</v>
      </c>
      <c r="B184" s="2" t="s">
        <v>1119</v>
      </c>
      <c r="C184" s="2" t="s">
        <v>1136</v>
      </c>
      <c r="D184" s="34" t="s">
        <v>1626</v>
      </c>
      <c r="E184" s="2"/>
      <c r="F184" s="2" t="s">
        <v>65</v>
      </c>
      <c r="G184" s="2" t="s">
        <v>2048</v>
      </c>
      <c r="H184" s="2" t="s">
        <v>66</v>
      </c>
      <c r="I184" s="2" t="s">
        <v>686</v>
      </c>
      <c r="J184" s="2" t="s">
        <v>1618</v>
      </c>
      <c r="K184" s="2" t="s">
        <v>67</v>
      </c>
      <c r="L184" s="7">
        <v>1525486.2</v>
      </c>
      <c r="M184" s="7">
        <v>152548.62</v>
      </c>
      <c r="N184" s="2" t="s">
        <v>14</v>
      </c>
      <c r="O184" s="7"/>
      <c r="P184" s="7"/>
      <c r="Q184" s="7"/>
      <c r="R184" s="7"/>
      <c r="S184" s="7"/>
      <c r="T184" s="7"/>
      <c r="U184" s="7"/>
      <c r="V184" s="7"/>
      <c r="W184" s="7"/>
      <c r="X184" s="7"/>
      <c r="Y184" s="7"/>
      <c r="Z184" s="7"/>
      <c r="AA184" s="7">
        <v>152548.62</v>
      </c>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8">
        <v>45812</v>
      </c>
      <c r="BX184" s="2"/>
      <c r="BY184" s="2" t="s">
        <v>1800</v>
      </c>
      <c r="BZ184" s="2"/>
      <c r="CA184" s="14">
        <f t="shared" ref="CA184:CA230" si="24">SUM(O184:BV184)</f>
        <v>152548.62</v>
      </c>
      <c r="CB184" s="2" t="str">
        <f t="shared" ref="CB184:CB230" si="25">IF(M184=CA184,"OK","CORRIGIR")</f>
        <v>OK</v>
      </c>
      <c r="CC184" s="13">
        <f t="shared" ref="CC184:CC230" si="26">M184-CA184</f>
        <v>0</v>
      </c>
    </row>
    <row r="185" spans="1:81" s="9" customFormat="1" ht="105.75" hidden="1" customHeight="1" x14ac:dyDescent="0.25">
      <c r="A185" s="2" t="s">
        <v>1508</v>
      </c>
      <c r="B185" s="2" t="s">
        <v>926</v>
      </c>
      <c r="C185" s="2" t="s">
        <v>681</v>
      </c>
      <c r="D185" s="12" t="s">
        <v>927</v>
      </c>
      <c r="E185" s="2"/>
      <c r="F185" s="2" t="s">
        <v>65</v>
      </c>
      <c r="G185" s="2" t="s">
        <v>2028</v>
      </c>
      <c r="H185" s="2" t="s">
        <v>77</v>
      </c>
      <c r="I185" s="2" t="s">
        <v>686</v>
      </c>
      <c r="J185" s="2" t="s">
        <v>1618</v>
      </c>
      <c r="K185" s="2" t="s">
        <v>67</v>
      </c>
      <c r="L185" s="22">
        <v>15166.04</v>
      </c>
      <c r="M185" s="22">
        <v>15166.04</v>
      </c>
      <c r="N185" s="2" t="s">
        <v>1140</v>
      </c>
      <c r="O185" s="7">
        <v>0</v>
      </c>
      <c r="P185" s="7"/>
      <c r="Q185" s="7"/>
      <c r="R185" s="7"/>
      <c r="S185" s="7"/>
      <c r="T185" s="7"/>
      <c r="U185" s="7"/>
      <c r="V185" s="7"/>
      <c r="W185" s="7"/>
      <c r="X185" s="7"/>
      <c r="Y185" s="7"/>
      <c r="Z185" s="7"/>
      <c r="AA185" s="7"/>
      <c r="AB185" s="7"/>
      <c r="AC185" s="7"/>
      <c r="AD185" s="7"/>
      <c r="AE185" s="7"/>
      <c r="AF185" s="7"/>
      <c r="AG185" s="7">
        <v>8038</v>
      </c>
      <c r="AH185" s="7">
        <v>7128.04</v>
      </c>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2"/>
      <c r="BX185" s="8">
        <v>45490</v>
      </c>
      <c r="BY185" s="8"/>
      <c r="BZ185" s="2"/>
      <c r="CA185" s="14">
        <f t="shared" si="24"/>
        <v>15166.04</v>
      </c>
      <c r="CB185" s="2" t="str">
        <f t="shared" si="25"/>
        <v>OK</v>
      </c>
      <c r="CC185" s="13">
        <f t="shared" si="26"/>
        <v>0</v>
      </c>
    </row>
    <row r="186" spans="1:81" s="9" customFormat="1" ht="147.75" hidden="1" customHeight="1" x14ac:dyDescent="0.25">
      <c r="A186" s="2" t="s">
        <v>1387</v>
      </c>
      <c r="B186" s="2" t="s">
        <v>885</v>
      </c>
      <c r="C186" s="2" t="s">
        <v>681</v>
      </c>
      <c r="D186" s="12" t="s">
        <v>886</v>
      </c>
      <c r="E186" s="2"/>
      <c r="F186" s="2" t="s">
        <v>65</v>
      </c>
      <c r="G186" s="2" t="s">
        <v>2028</v>
      </c>
      <c r="H186" s="2" t="s">
        <v>77</v>
      </c>
      <c r="I186" s="2" t="s">
        <v>686</v>
      </c>
      <c r="J186" s="2" t="s">
        <v>1618</v>
      </c>
      <c r="K186" s="2" t="s">
        <v>67</v>
      </c>
      <c r="L186" s="22">
        <v>26881818.48</v>
      </c>
      <c r="M186" s="22">
        <v>26881818.48</v>
      </c>
      <c r="N186" s="2" t="s">
        <v>887</v>
      </c>
      <c r="O186" s="7"/>
      <c r="P186" s="7"/>
      <c r="Q186" s="7"/>
      <c r="R186" s="7"/>
      <c r="S186" s="7"/>
      <c r="T186" s="7"/>
      <c r="U186" s="7"/>
      <c r="V186" s="7"/>
      <c r="W186" s="7"/>
      <c r="X186" s="7"/>
      <c r="Y186" s="7"/>
      <c r="Z186" s="7"/>
      <c r="AA186" s="7">
        <v>1101528.54</v>
      </c>
      <c r="AB186" s="7"/>
      <c r="AC186" s="7"/>
      <c r="AD186" s="7"/>
      <c r="AE186" s="7"/>
      <c r="AF186" s="7"/>
      <c r="AG186" s="7">
        <v>13921356.52</v>
      </c>
      <c r="AH186" s="7">
        <v>11858933.42</v>
      </c>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2"/>
      <c r="BX186" s="8">
        <v>46022</v>
      </c>
      <c r="BY186" s="8"/>
      <c r="BZ186" s="2"/>
      <c r="CA186" s="14">
        <f t="shared" si="24"/>
        <v>26881818.479999997</v>
      </c>
      <c r="CB186" s="2" t="str">
        <f t="shared" si="25"/>
        <v>OK</v>
      </c>
      <c r="CC186" s="13">
        <f t="shared" si="26"/>
        <v>0</v>
      </c>
    </row>
    <row r="187" spans="1:81" s="9" customFormat="1" ht="140.1" hidden="1" customHeight="1" x14ac:dyDescent="0.25">
      <c r="A187" s="2" t="s">
        <v>1389</v>
      </c>
      <c r="B187" s="2" t="s">
        <v>866</v>
      </c>
      <c r="C187" s="2" t="s">
        <v>681</v>
      </c>
      <c r="D187" s="12" t="s">
        <v>867</v>
      </c>
      <c r="E187" s="2"/>
      <c r="F187" s="2" t="s">
        <v>65</v>
      </c>
      <c r="G187" s="2" t="s">
        <v>2028</v>
      </c>
      <c r="H187" s="2" t="s">
        <v>77</v>
      </c>
      <c r="I187" s="2" t="s">
        <v>686</v>
      </c>
      <c r="J187" s="2" t="s">
        <v>1618</v>
      </c>
      <c r="K187" s="2" t="s">
        <v>67</v>
      </c>
      <c r="L187" s="22">
        <v>10479280.140000001</v>
      </c>
      <c r="M187" s="22">
        <v>10479280.140000001</v>
      </c>
      <c r="N187" s="2" t="s">
        <v>868</v>
      </c>
      <c r="O187" s="7"/>
      <c r="P187" s="7"/>
      <c r="Q187" s="7"/>
      <c r="R187" s="7"/>
      <c r="S187" s="7"/>
      <c r="T187" s="7"/>
      <c r="U187" s="7"/>
      <c r="V187" s="7"/>
      <c r="W187" s="7"/>
      <c r="X187" s="7"/>
      <c r="Y187" s="7"/>
      <c r="Z187" s="7"/>
      <c r="AA187" s="7">
        <v>265384.21000000002</v>
      </c>
      <c r="AB187" s="7"/>
      <c r="AC187" s="7"/>
      <c r="AD187" s="7"/>
      <c r="AE187" s="7"/>
      <c r="AF187" s="7"/>
      <c r="AG187" s="7">
        <v>5515503.7999999998</v>
      </c>
      <c r="AH187" s="7">
        <v>4698392.13</v>
      </c>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2"/>
      <c r="BX187" s="8">
        <v>46022</v>
      </c>
      <c r="BY187" s="8"/>
      <c r="BZ187" s="8" t="s">
        <v>1746</v>
      </c>
      <c r="CA187" s="14">
        <f t="shared" si="24"/>
        <v>10479280.140000001</v>
      </c>
      <c r="CB187" s="2" t="str">
        <f t="shared" si="25"/>
        <v>OK</v>
      </c>
      <c r="CC187" s="13">
        <f t="shared" si="26"/>
        <v>0</v>
      </c>
    </row>
    <row r="188" spans="1:81" s="9" customFormat="1" ht="140.1" hidden="1" customHeight="1" x14ac:dyDescent="0.25">
      <c r="A188" s="2" t="s">
        <v>1394</v>
      </c>
      <c r="B188" s="2" t="s">
        <v>873</v>
      </c>
      <c r="C188" s="2" t="s">
        <v>681</v>
      </c>
      <c r="D188" s="12" t="s">
        <v>874</v>
      </c>
      <c r="E188" s="2"/>
      <c r="F188" s="2" t="s">
        <v>65</v>
      </c>
      <c r="G188" s="2" t="s">
        <v>2028</v>
      </c>
      <c r="H188" s="2" t="s">
        <v>77</v>
      </c>
      <c r="I188" s="2" t="s">
        <v>686</v>
      </c>
      <c r="J188" s="2" t="s">
        <v>1618</v>
      </c>
      <c r="K188" s="2" t="s">
        <v>67</v>
      </c>
      <c r="L188" s="22">
        <v>2271921.27</v>
      </c>
      <c r="M188" s="22">
        <v>2271921.27</v>
      </c>
      <c r="N188" s="2" t="s">
        <v>875</v>
      </c>
      <c r="O188" s="7"/>
      <c r="P188" s="7"/>
      <c r="Q188" s="7"/>
      <c r="R188" s="7"/>
      <c r="S188" s="7"/>
      <c r="T188" s="7"/>
      <c r="U188" s="7"/>
      <c r="V188" s="7"/>
      <c r="W188" s="7"/>
      <c r="X188" s="7"/>
      <c r="Y188" s="7"/>
      <c r="Z188" s="7"/>
      <c r="AA188" s="7">
        <v>93338.16</v>
      </c>
      <c r="AB188" s="7"/>
      <c r="AC188" s="7"/>
      <c r="AD188" s="7"/>
      <c r="AE188" s="7"/>
      <c r="AF188" s="7"/>
      <c r="AG188" s="7">
        <v>1176434.8799999999</v>
      </c>
      <c r="AH188" s="7">
        <v>1002148.23</v>
      </c>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2"/>
      <c r="BX188" s="8">
        <v>46022</v>
      </c>
      <c r="BY188" s="8"/>
      <c r="BZ188" s="2" t="s">
        <v>1710</v>
      </c>
      <c r="CA188" s="14">
        <f t="shared" si="24"/>
        <v>2271921.2699999996</v>
      </c>
      <c r="CB188" s="2" t="str">
        <f t="shared" si="25"/>
        <v>OK</v>
      </c>
      <c r="CC188" s="13">
        <f t="shared" si="26"/>
        <v>0</v>
      </c>
    </row>
    <row r="189" spans="1:81" s="9" customFormat="1" ht="140.1" hidden="1" customHeight="1" x14ac:dyDescent="0.25">
      <c r="A189" s="2" t="s">
        <v>1395</v>
      </c>
      <c r="B189" s="2" t="s">
        <v>893</v>
      </c>
      <c r="C189" s="2" t="s">
        <v>681</v>
      </c>
      <c r="D189" s="12" t="s">
        <v>894</v>
      </c>
      <c r="E189" s="2"/>
      <c r="F189" s="2" t="s">
        <v>65</v>
      </c>
      <c r="G189" s="2" t="s">
        <v>2028</v>
      </c>
      <c r="H189" s="2" t="s">
        <v>77</v>
      </c>
      <c r="I189" s="2" t="s">
        <v>686</v>
      </c>
      <c r="J189" s="2" t="s">
        <v>1618</v>
      </c>
      <c r="K189" s="2" t="s">
        <v>67</v>
      </c>
      <c r="L189" s="22">
        <v>1467809.06</v>
      </c>
      <c r="M189" s="22">
        <v>1467809.06</v>
      </c>
      <c r="N189" s="2" t="s">
        <v>875</v>
      </c>
      <c r="O189" s="7">
        <v>0</v>
      </c>
      <c r="P189" s="7"/>
      <c r="Q189" s="7"/>
      <c r="R189" s="7"/>
      <c r="S189" s="7"/>
      <c r="T189" s="7"/>
      <c r="U189" s="7"/>
      <c r="V189" s="7"/>
      <c r="W189" s="7"/>
      <c r="X189" s="7"/>
      <c r="Y189" s="7"/>
      <c r="Z189" s="7"/>
      <c r="AA189" s="7"/>
      <c r="AB189" s="7"/>
      <c r="AC189" s="7"/>
      <c r="AD189" s="7"/>
      <c r="AE189" s="7"/>
      <c r="AF189" s="7"/>
      <c r="AG189" s="7">
        <v>1467809.06</v>
      </c>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2"/>
      <c r="BX189" s="8">
        <v>46022</v>
      </c>
      <c r="BY189" s="8"/>
      <c r="BZ189" s="2"/>
      <c r="CA189" s="14">
        <f t="shared" si="24"/>
        <v>1467809.06</v>
      </c>
      <c r="CB189" s="2" t="str">
        <f t="shared" si="25"/>
        <v>OK</v>
      </c>
      <c r="CC189" s="13">
        <f t="shared" si="26"/>
        <v>0</v>
      </c>
    </row>
    <row r="190" spans="1:81" s="9" customFormat="1" ht="129.94999999999999" hidden="1" customHeight="1" x14ac:dyDescent="0.25">
      <c r="A190" s="2" t="s">
        <v>1425</v>
      </c>
      <c r="B190" s="2" t="s">
        <v>899</v>
      </c>
      <c r="C190" s="2" t="s">
        <v>681</v>
      </c>
      <c r="D190" s="12" t="s">
        <v>900</v>
      </c>
      <c r="E190" s="2"/>
      <c r="F190" s="2" t="s">
        <v>65</v>
      </c>
      <c r="G190" s="2" t="s">
        <v>2028</v>
      </c>
      <c r="H190" s="2" t="s">
        <v>77</v>
      </c>
      <c r="I190" s="2" t="s">
        <v>686</v>
      </c>
      <c r="J190" s="2" t="s">
        <v>1618</v>
      </c>
      <c r="K190" s="2" t="s">
        <v>67</v>
      </c>
      <c r="L190" s="22">
        <v>497772.3</v>
      </c>
      <c r="M190" s="22">
        <v>497772.3</v>
      </c>
      <c r="N190" s="2" t="s">
        <v>880</v>
      </c>
      <c r="O190" s="7"/>
      <c r="P190" s="7"/>
      <c r="Q190" s="7"/>
      <c r="R190" s="7"/>
      <c r="S190" s="7"/>
      <c r="T190" s="7"/>
      <c r="U190" s="7"/>
      <c r="V190" s="7"/>
      <c r="W190" s="7"/>
      <c r="X190" s="7"/>
      <c r="Y190" s="7"/>
      <c r="Z190" s="7"/>
      <c r="AA190" s="7">
        <v>7059.8</v>
      </c>
      <c r="AB190" s="7"/>
      <c r="AC190" s="7"/>
      <c r="AD190" s="7"/>
      <c r="AE190" s="7"/>
      <c r="AF190" s="7"/>
      <c r="AG190" s="7">
        <f>356030.12+1500</f>
        <v>357530.12</v>
      </c>
      <c r="AH190" s="7">
        <f>131682.38+1500</f>
        <v>133182.38</v>
      </c>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2"/>
      <c r="BX190" s="8">
        <v>46022</v>
      </c>
      <c r="BY190" s="8"/>
      <c r="BZ190" s="2"/>
      <c r="CA190" s="14">
        <f t="shared" si="24"/>
        <v>497772.3</v>
      </c>
      <c r="CB190" s="2" t="str">
        <f t="shared" si="25"/>
        <v>OK</v>
      </c>
      <c r="CC190" s="13">
        <f t="shared" si="26"/>
        <v>0</v>
      </c>
    </row>
    <row r="191" spans="1:81" s="9" customFormat="1" ht="129.94999999999999" hidden="1" customHeight="1" x14ac:dyDescent="0.25">
      <c r="A191" s="2" t="s">
        <v>1435</v>
      </c>
      <c r="B191" s="2" t="s">
        <v>876</v>
      </c>
      <c r="C191" s="2" t="s">
        <v>681</v>
      </c>
      <c r="D191" s="12" t="s">
        <v>2106</v>
      </c>
      <c r="E191" s="2"/>
      <c r="F191" s="2" t="s">
        <v>65</v>
      </c>
      <c r="G191" s="2" t="s">
        <v>2028</v>
      </c>
      <c r="H191" s="2" t="s">
        <v>77</v>
      </c>
      <c r="I191" s="2" t="s">
        <v>686</v>
      </c>
      <c r="J191" s="2" t="s">
        <v>1618</v>
      </c>
      <c r="K191" s="2" t="s">
        <v>67</v>
      </c>
      <c r="L191" s="22">
        <v>340358.81</v>
      </c>
      <c r="M191" s="22">
        <v>340358.81</v>
      </c>
      <c r="N191" s="2" t="s">
        <v>1145</v>
      </c>
      <c r="O191" s="7"/>
      <c r="P191" s="7"/>
      <c r="Q191" s="7"/>
      <c r="R191" s="7"/>
      <c r="S191" s="7"/>
      <c r="T191" s="7"/>
      <c r="U191" s="7"/>
      <c r="V191" s="7"/>
      <c r="W191" s="7"/>
      <c r="X191" s="7"/>
      <c r="Y191" s="7"/>
      <c r="Z191" s="7"/>
      <c r="AA191" s="7">
        <v>7618.9</v>
      </c>
      <c r="AB191" s="7"/>
      <c r="AC191" s="7"/>
      <c r="AD191" s="7"/>
      <c r="AE191" s="7"/>
      <c r="AF191" s="7"/>
      <c r="AG191" s="7">
        <v>202971.35</v>
      </c>
      <c r="AH191" s="7">
        <v>129768.56</v>
      </c>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2"/>
      <c r="BX191" s="8">
        <v>46022</v>
      </c>
      <c r="BY191" s="8"/>
      <c r="BZ191" s="2"/>
      <c r="CA191" s="14">
        <f t="shared" si="24"/>
        <v>340358.81</v>
      </c>
      <c r="CB191" s="2" t="str">
        <f t="shared" si="25"/>
        <v>OK</v>
      </c>
      <c r="CC191" s="13">
        <f t="shared" si="26"/>
        <v>0</v>
      </c>
    </row>
    <row r="192" spans="1:81" s="9" customFormat="1" ht="129.94999999999999" hidden="1" customHeight="1" x14ac:dyDescent="0.25">
      <c r="A192" s="2" t="s">
        <v>1436</v>
      </c>
      <c r="B192" s="2" t="s">
        <v>895</v>
      </c>
      <c r="C192" s="2" t="s">
        <v>681</v>
      </c>
      <c r="D192" s="12" t="s">
        <v>896</v>
      </c>
      <c r="E192" s="2"/>
      <c r="F192" s="2" t="s">
        <v>65</v>
      </c>
      <c r="G192" s="2" t="s">
        <v>2028</v>
      </c>
      <c r="H192" s="2" t="s">
        <v>77</v>
      </c>
      <c r="I192" s="2" t="s">
        <v>686</v>
      </c>
      <c r="J192" s="2" t="s">
        <v>1618</v>
      </c>
      <c r="K192" s="2" t="s">
        <v>67</v>
      </c>
      <c r="L192" s="22">
        <v>291138.89</v>
      </c>
      <c r="M192" s="22">
        <v>291138.89</v>
      </c>
      <c r="N192" s="2" t="s">
        <v>1137</v>
      </c>
      <c r="O192" s="7">
        <v>0</v>
      </c>
      <c r="P192" s="7"/>
      <c r="Q192" s="7"/>
      <c r="R192" s="7"/>
      <c r="S192" s="7"/>
      <c r="T192" s="7"/>
      <c r="U192" s="7"/>
      <c r="V192" s="7"/>
      <c r="W192" s="7"/>
      <c r="X192" s="7"/>
      <c r="Y192" s="7"/>
      <c r="Z192" s="7"/>
      <c r="AA192" s="7"/>
      <c r="AB192" s="7"/>
      <c r="AC192" s="7"/>
      <c r="AD192" s="7"/>
      <c r="AE192" s="7"/>
      <c r="AF192" s="7"/>
      <c r="AG192" s="7">
        <v>291138.89</v>
      </c>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2"/>
      <c r="BX192" s="8">
        <v>46022</v>
      </c>
      <c r="BY192" s="8"/>
      <c r="BZ192" s="2"/>
      <c r="CA192" s="14">
        <f t="shared" si="24"/>
        <v>291138.89</v>
      </c>
      <c r="CB192" s="2" t="str">
        <f t="shared" si="25"/>
        <v>OK</v>
      </c>
      <c r="CC192" s="13">
        <f t="shared" si="26"/>
        <v>0</v>
      </c>
    </row>
    <row r="193" spans="1:81" s="9" customFormat="1" ht="129.94999999999999" hidden="1" customHeight="1" x14ac:dyDescent="0.25">
      <c r="A193" s="2" t="s">
        <v>1449</v>
      </c>
      <c r="B193" s="2" t="s">
        <v>856</v>
      </c>
      <c r="C193" s="2" t="s">
        <v>681</v>
      </c>
      <c r="D193" s="12" t="s">
        <v>857</v>
      </c>
      <c r="E193" s="2"/>
      <c r="F193" s="2" t="s">
        <v>65</v>
      </c>
      <c r="G193" s="2" t="s">
        <v>2028</v>
      </c>
      <c r="H193" s="2" t="s">
        <v>77</v>
      </c>
      <c r="I193" s="2" t="s">
        <v>686</v>
      </c>
      <c r="J193" s="2" t="s">
        <v>1618</v>
      </c>
      <c r="K193" s="2" t="s">
        <v>67</v>
      </c>
      <c r="L193" s="22">
        <v>150647.66</v>
      </c>
      <c r="M193" s="22">
        <v>150647.66</v>
      </c>
      <c r="N193" s="2" t="s">
        <v>1146</v>
      </c>
      <c r="O193" s="7">
        <v>0</v>
      </c>
      <c r="P193" s="7"/>
      <c r="Q193" s="7"/>
      <c r="R193" s="7"/>
      <c r="S193" s="7"/>
      <c r="T193" s="7"/>
      <c r="U193" s="7"/>
      <c r="V193" s="7"/>
      <c r="W193" s="7"/>
      <c r="X193" s="7"/>
      <c r="Y193" s="7"/>
      <c r="Z193" s="7"/>
      <c r="AA193" s="7"/>
      <c r="AB193" s="7"/>
      <c r="AC193" s="7"/>
      <c r="AD193" s="7"/>
      <c r="AE193" s="7"/>
      <c r="AF193" s="7"/>
      <c r="AG193" s="7">
        <v>97920.98</v>
      </c>
      <c r="AH193" s="7">
        <v>52726.68</v>
      </c>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2"/>
      <c r="BX193" s="8">
        <v>46022</v>
      </c>
      <c r="BY193" s="8"/>
      <c r="BZ193" s="2"/>
      <c r="CA193" s="14">
        <f t="shared" si="24"/>
        <v>150647.66</v>
      </c>
      <c r="CB193" s="2" t="str">
        <f t="shared" si="25"/>
        <v>OK</v>
      </c>
      <c r="CC193" s="13">
        <f t="shared" si="26"/>
        <v>0</v>
      </c>
    </row>
    <row r="194" spans="1:81" s="9" customFormat="1" ht="129.94999999999999" hidden="1" customHeight="1" x14ac:dyDescent="0.25">
      <c r="A194" s="2" t="s">
        <v>1458</v>
      </c>
      <c r="B194" s="2" t="s">
        <v>919</v>
      </c>
      <c r="C194" s="2" t="s">
        <v>681</v>
      </c>
      <c r="D194" s="12" t="s">
        <v>920</v>
      </c>
      <c r="E194" s="2"/>
      <c r="F194" s="2" t="s">
        <v>65</v>
      </c>
      <c r="G194" s="2" t="s">
        <v>2028</v>
      </c>
      <c r="H194" s="2" t="s">
        <v>77</v>
      </c>
      <c r="I194" s="2" t="s">
        <v>686</v>
      </c>
      <c r="J194" s="2" t="s">
        <v>1618</v>
      </c>
      <c r="K194" s="2" t="s">
        <v>67</v>
      </c>
      <c r="L194" s="22">
        <v>113693.99</v>
      </c>
      <c r="M194" s="22">
        <v>113693.99</v>
      </c>
      <c r="N194" s="2" t="s">
        <v>1140</v>
      </c>
      <c r="O194" s="7">
        <v>0</v>
      </c>
      <c r="P194" s="7"/>
      <c r="Q194" s="7"/>
      <c r="R194" s="7"/>
      <c r="S194" s="7"/>
      <c r="T194" s="7"/>
      <c r="U194" s="7"/>
      <c r="V194" s="7"/>
      <c r="W194" s="7"/>
      <c r="X194" s="7"/>
      <c r="Y194" s="7"/>
      <c r="Z194" s="7"/>
      <c r="AA194" s="7"/>
      <c r="AB194" s="7"/>
      <c r="AC194" s="7"/>
      <c r="AD194" s="7"/>
      <c r="AE194" s="7"/>
      <c r="AF194" s="7"/>
      <c r="AG194" s="7">
        <v>37519.019999999997</v>
      </c>
      <c r="AH194" s="7">
        <v>76174.97</v>
      </c>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2"/>
      <c r="BX194" s="8">
        <v>46022</v>
      </c>
      <c r="BY194" s="8"/>
      <c r="BZ194" s="2"/>
      <c r="CA194" s="14">
        <f t="shared" si="24"/>
        <v>113693.98999999999</v>
      </c>
      <c r="CB194" s="2" t="str">
        <f t="shared" si="25"/>
        <v>OK</v>
      </c>
      <c r="CC194" s="13">
        <f t="shared" si="26"/>
        <v>0</v>
      </c>
    </row>
    <row r="195" spans="1:81" s="9" customFormat="1" ht="129.94999999999999" hidden="1" customHeight="1" x14ac:dyDescent="0.25">
      <c r="A195" s="2" t="s">
        <v>1468</v>
      </c>
      <c r="B195" s="2" t="s">
        <v>928</v>
      </c>
      <c r="C195" s="2" t="s">
        <v>681</v>
      </c>
      <c r="D195" s="12" t="s">
        <v>929</v>
      </c>
      <c r="E195" s="2"/>
      <c r="F195" s="2" t="s">
        <v>65</v>
      </c>
      <c r="G195" s="2" t="s">
        <v>2028</v>
      </c>
      <c r="H195" s="2" t="s">
        <v>77</v>
      </c>
      <c r="I195" s="2" t="s">
        <v>686</v>
      </c>
      <c r="J195" s="2" t="s">
        <v>1618</v>
      </c>
      <c r="K195" s="2" t="s">
        <v>67</v>
      </c>
      <c r="L195" s="22">
        <v>101746.69</v>
      </c>
      <c r="M195" s="22">
        <v>101746.69</v>
      </c>
      <c r="N195" s="2" t="s">
        <v>1140</v>
      </c>
      <c r="O195" s="7">
        <v>0</v>
      </c>
      <c r="P195" s="7"/>
      <c r="Q195" s="7"/>
      <c r="R195" s="7"/>
      <c r="S195" s="7"/>
      <c r="T195" s="7"/>
      <c r="U195" s="7"/>
      <c r="V195" s="7"/>
      <c r="W195" s="7"/>
      <c r="X195" s="7"/>
      <c r="Y195" s="7"/>
      <c r="Z195" s="7"/>
      <c r="AA195" s="7"/>
      <c r="AB195" s="7"/>
      <c r="AC195" s="7"/>
      <c r="AD195" s="7"/>
      <c r="AE195" s="7"/>
      <c r="AF195" s="7"/>
      <c r="AG195" s="7">
        <v>71222.679999999993</v>
      </c>
      <c r="AH195" s="7">
        <v>30524.01</v>
      </c>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2"/>
      <c r="BX195" s="8">
        <v>46022</v>
      </c>
      <c r="BY195" s="8"/>
      <c r="BZ195" s="2" t="s">
        <v>1750</v>
      </c>
      <c r="CA195" s="14">
        <f t="shared" si="24"/>
        <v>101746.68999999999</v>
      </c>
      <c r="CB195" s="2" t="str">
        <f t="shared" si="25"/>
        <v>OK</v>
      </c>
      <c r="CC195" s="13">
        <f t="shared" si="26"/>
        <v>0</v>
      </c>
    </row>
    <row r="196" spans="1:81" s="9" customFormat="1" ht="129.94999999999999" hidden="1" customHeight="1" x14ac:dyDescent="0.25">
      <c r="A196" s="2" t="s">
        <v>1470</v>
      </c>
      <c r="B196" s="2" t="s">
        <v>840</v>
      </c>
      <c r="C196" s="2" t="s">
        <v>681</v>
      </c>
      <c r="D196" s="12" t="s">
        <v>841</v>
      </c>
      <c r="E196" s="2"/>
      <c r="F196" s="2" t="s">
        <v>65</v>
      </c>
      <c r="G196" s="2" t="s">
        <v>2028</v>
      </c>
      <c r="H196" s="2" t="s">
        <v>77</v>
      </c>
      <c r="I196" s="2" t="s">
        <v>686</v>
      </c>
      <c r="J196" s="2" t="s">
        <v>1618</v>
      </c>
      <c r="K196" s="2" t="s">
        <v>67</v>
      </c>
      <c r="L196" s="22">
        <v>89025.82</v>
      </c>
      <c r="M196" s="22">
        <v>89025.82</v>
      </c>
      <c r="N196" s="2" t="s">
        <v>1140</v>
      </c>
      <c r="O196" s="7">
        <v>0</v>
      </c>
      <c r="P196" s="7"/>
      <c r="Q196" s="7"/>
      <c r="R196" s="7"/>
      <c r="S196" s="7"/>
      <c r="T196" s="7"/>
      <c r="U196" s="7"/>
      <c r="V196" s="7"/>
      <c r="W196" s="7"/>
      <c r="X196" s="7"/>
      <c r="Y196" s="7"/>
      <c r="Z196" s="7"/>
      <c r="AA196" s="7"/>
      <c r="AB196" s="7"/>
      <c r="AC196" s="7"/>
      <c r="AD196" s="7"/>
      <c r="AE196" s="7"/>
      <c r="AF196" s="7"/>
      <c r="AG196" s="7">
        <v>44512.91</v>
      </c>
      <c r="AH196" s="7">
        <v>44512.91</v>
      </c>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2"/>
      <c r="BX196" s="8">
        <v>46022</v>
      </c>
      <c r="BY196" s="8"/>
      <c r="BZ196" s="2"/>
      <c r="CA196" s="14">
        <f t="shared" si="24"/>
        <v>89025.82</v>
      </c>
      <c r="CB196" s="2" t="str">
        <f t="shared" si="25"/>
        <v>OK</v>
      </c>
      <c r="CC196" s="13">
        <f t="shared" si="26"/>
        <v>0</v>
      </c>
    </row>
    <row r="197" spans="1:81" s="9" customFormat="1" ht="129.94999999999999" hidden="1" customHeight="1" x14ac:dyDescent="0.25">
      <c r="A197" s="2" t="s">
        <v>1471</v>
      </c>
      <c r="B197" s="2" t="s">
        <v>917</v>
      </c>
      <c r="C197" s="2" t="s">
        <v>681</v>
      </c>
      <c r="D197" s="12" t="s">
        <v>918</v>
      </c>
      <c r="E197" s="2"/>
      <c r="F197" s="2" t="s">
        <v>65</v>
      </c>
      <c r="G197" s="2" t="s">
        <v>2028</v>
      </c>
      <c r="H197" s="2" t="s">
        <v>77</v>
      </c>
      <c r="I197" s="2" t="s">
        <v>686</v>
      </c>
      <c r="J197" s="2" t="s">
        <v>1618</v>
      </c>
      <c r="K197" s="2" t="s">
        <v>67</v>
      </c>
      <c r="L197" s="22">
        <v>86809.14</v>
      </c>
      <c r="M197" s="22">
        <v>86809.14</v>
      </c>
      <c r="N197" s="2" t="s">
        <v>1140</v>
      </c>
      <c r="O197" s="7">
        <v>0</v>
      </c>
      <c r="P197" s="7"/>
      <c r="Q197" s="7"/>
      <c r="R197" s="7"/>
      <c r="S197" s="7"/>
      <c r="T197" s="7"/>
      <c r="U197" s="7"/>
      <c r="V197" s="7"/>
      <c r="W197" s="7"/>
      <c r="X197" s="7"/>
      <c r="Y197" s="7"/>
      <c r="Z197" s="7"/>
      <c r="AA197" s="7"/>
      <c r="AB197" s="7"/>
      <c r="AC197" s="7"/>
      <c r="AD197" s="7"/>
      <c r="AE197" s="7"/>
      <c r="AF197" s="7"/>
      <c r="AG197" s="7">
        <v>32987.47</v>
      </c>
      <c r="AH197" s="7">
        <v>53821.67</v>
      </c>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2"/>
      <c r="BX197" s="8">
        <v>46022</v>
      </c>
      <c r="BY197" s="8"/>
      <c r="BZ197" s="2"/>
      <c r="CA197" s="14">
        <f t="shared" si="24"/>
        <v>86809.14</v>
      </c>
      <c r="CB197" s="2" t="str">
        <f t="shared" si="25"/>
        <v>OK</v>
      </c>
      <c r="CC197" s="13">
        <f t="shared" si="26"/>
        <v>0</v>
      </c>
    </row>
    <row r="198" spans="1:81" s="9" customFormat="1" ht="129.94999999999999" hidden="1" customHeight="1" x14ac:dyDescent="0.25">
      <c r="A198" s="2" t="s">
        <v>1480</v>
      </c>
      <c r="B198" s="2" t="s">
        <v>915</v>
      </c>
      <c r="C198" s="2" t="s">
        <v>681</v>
      </c>
      <c r="D198" s="12" t="s">
        <v>916</v>
      </c>
      <c r="E198" s="2"/>
      <c r="F198" s="2" t="s">
        <v>65</v>
      </c>
      <c r="G198" s="2" t="s">
        <v>2028</v>
      </c>
      <c r="H198" s="2" t="s">
        <v>77</v>
      </c>
      <c r="I198" s="2" t="s">
        <v>686</v>
      </c>
      <c r="J198" s="2" t="s">
        <v>1618</v>
      </c>
      <c r="K198" s="2" t="s">
        <v>67</v>
      </c>
      <c r="L198" s="22">
        <v>53570.47</v>
      </c>
      <c r="M198" s="22">
        <v>53570.47</v>
      </c>
      <c r="N198" s="2" t="s">
        <v>1140</v>
      </c>
      <c r="O198" s="7"/>
      <c r="P198" s="7"/>
      <c r="Q198" s="7"/>
      <c r="R198" s="7"/>
      <c r="S198" s="7"/>
      <c r="T198" s="7"/>
      <c r="U198" s="7"/>
      <c r="V198" s="7"/>
      <c r="W198" s="7"/>
      <c r="X198" s="7"/>
      <c r="Y198" s="7"/>
      <c r="Z198" s="7"/>
      <c r="AA198" s="7"/>
      <c r="AB198" s="7"/>
      <c r="AC198" s="7"/>
      <c r="AD198" s="7"/>
      <c r="AE198" s="7"/>
      <c r="AF198" s="7"/>
      <c r="AG198" s="7">
        <v>40713.56</v>
      </c>
      <c r="AH198" s="7">
        <v>12856.91</v>
      </c>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2"/>
      <c r="BX198" s="8">
        <v>46022</v>
      </c>
      <c r="BY198" s="8"/>
      <c r="BZ198" s="8" t="s">
        <v>1746</v>
      </c>
      <c r="CA198" s="14">
        <f t="shared" si="24"/>
        <v>53570.47</v>
      </c>
      <c r="CB198" s="2" t="str">
        <f t="shared" si="25"/>
        <v>OK</v>
      </c>
      <c r="CC198" s="13">
        <f t="shared" si="26"/>
        <v>0</v>
      </c>
    </row>
    <row r="199" spans="1:81" s="9" customFormat="1" ht="129.94999999999999" hidden="1" customHeight="1" x14ac:dyDescent="0.25">
      <c r="A199" s="2" t="s">
        <v>1485</v>
      </c>
      <c r="B199" s="2" t="s">
        <v>846</v>
      </c>
      <c r="C199" s="2" t="s">
        <v>681</v>
      </c>
      <c r="D199" s="12" t="s">
        <v>847</v>
      </c>
      <c r="E199" s="2"/>
      <c r="F199" s="2" t="s">
        <v>65</v>
      </c>
      <c r="G199" s="2" t="s">
        <v>2028</v>
      </c>
      <c r="H199" s="2" t="s">
        <v>77</v>
      </c>
      <c r="I199" s="2" t="s">
        <v>686</v>
      </c>
      <c r="J199" s="2" t="s">
        <v>1618</v>
      </c>
      <c r="K199" s="2" t="s">
        <v>67</v>
      </c>
      <c r="L199" s="22">
        <v>39416.559999999998</v>
      </c>
      <c r="M199" s="22">
        <v>39416.559999999998</v>
      </c>
      <c r="N199" s="2" t="s">
        <v>1143</v>
      </c>
      <c r="O199" s="7">
        <v>0</v>
      </c>
      <c r="P199" s="7"/>
      <c r="Q199" s="7"/>
      <c r="R199" s="7"/>
      <c r="S199" s="7"/>
      <c r="T199" s="7"/>
      <c r="U199" s="7"/>
      <c r="V199" s="7"/>
      <c r="W199" s="7"/>
      <c r="X199" s="7"/>
      <c r="Y199" s="7"/>
      <c r="Z199" s="7"/>
      <c r="AA199" s="7"/>
      <c r="AB199" s="7"/>
      <c r="AC199" s="7"/>
      <c r="AD199" s="7"/>
      <c r="AE199" s="7"/>
      <c r="AF199" s="7"/>
      <c r="AG199" s="7">
        <v>19708.28</v>
      </c>
      <c r="AH199" s="7">
        <v>19708.28</v>
      </c>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2"/>
      <c r="BX199" s="8">
        <v>46022</v>
      </c>
      <c r="BY199" s="8"/>
      <c r="BZ199" s="2" t="s">
        <v>1745</v>
      </c>
      <c r="CA199" s="14">
        <f t="shared" si="24"/>
        <v>39416.559999999998</v>
      </c>
      <c r="CB199" s="2" t="str">
        <f t="shared" si="25"/>
        <v>OK</v>
      </c>
      <c r="CC199" s="13">
        <f t="shared" si="26"/>
        <v>0</v>
      </c>
    </row>
    <row r="200" spans="1:81" s="9" customFormat="1" ht="129.94999999999999" hidden="1" customHeight="1" x14ac:dyDescent="0.25">
      <c r="A200" s="2" t="s">
        <v>1487</v>
      </c>
      <c r="B200" s="2" t="s">
        <v>848</v>
      </c>
      <c r="C200" s="2" t="s">
        <v>681</v>
      </c>
      <c r="D200" s="12" t="s">
        <v>849</v>
      </c>
      <c r="E200" s="2"/>
      <c r="F200" s="2" t="s">
        <v>65</v>
      </c>
      <c r="G200" s="2" t="s">
        <v>2028</v>
      </c>
      <c r="H200" s="2" t="s">
        <v>77</v>
      </c>
      <c r="I200" s="2" t="s">
        <v>686</v>
      </c>
      <c r="J200" s="2" t="s">
        <v>1618</v>
      </c>
      <c r="K200" s="2" t="s">
        <v>67</v>
      </c>
      <c r="L200" s="22">
        <v>33825.75</v>
      </c>
      <c r="M200" s="22">
        <v>33825.75</v>
      </c>
      <c r="N200" s="2" t="s">
        <v>1140</v>
      </c>
      <c r="O200" s="7">
        <v>0</v>
      </c>
      <c r="P200" s="7"/>
      <c r="Q200" s="7"/>
      <c r="R200" s="7"/>
      <c r="S200" s="7"/>
      <c r="T200" s="7"/>
      <c r="U200" s="7"/>
      <c r="V200" s="7"/>
      <c r="W200" s="7"/>
      <c r="X200" s="7"/>
      <c r="Y200" s="7"/>
      <c r="Z200" s="7"/>
      <c r="AA200" s="7"/>
      <c r="AB200" s="7"/>
      <c r="AC200" s="7"/>
      <c r="AD200" s="7"/>
      <c r="AE200" s="7"/>
      <c r="AF200" s="7"/>
      <c r="AG200" s="7">
        <v>22324.99</v>
      </c>
      <c r="AH200" s="7">
        <v>11500.76</v>
      </c>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2"/>
      <c r="BX200" s="8">
        <v>46022</v>
      </c>
      <c r="BY200" s="8"/>
      <c r="BZ200" s="2"/>
      <c r="CA200" s="14">
        <f t="shared" si="24"/>
        <v>33825.75</v>
      </c>
      <c r="CB200" s="2" t="str">
        <f t="shared" si="25"/>
        <v>OK</v>
      </c>
      <c r="CC200" s="13">
        <f t="shared" si="26"/>
        <v>0</v>
      </c>
    </row>
    <row r="201" spans="1:81" s="9" customFormat="1" ht="129.94999999999999" hidden="1" customHeight="1" x14ac:dyDescent="0.25">
      <c r="A201" s="2" t="s">
        <v>1488</v>
      </c>
      <c r="B201" s="2" t="s">
        <v>835</v>
      </c>
      <c r="C201" s="2" t="s">
        <v>681</v>
      </c>
      <c r="D201" s="12" t="s">
        <v>836</v>
      </c>
      <c r="E201" s="2"/>
      <c r="F201" s="2" t="s">
        <v>65</v>
      </c>
      <c r="G201" s="2" t="s">
        <v>2028</v>
      </c>
      <c r="H201" s="2" t="s">
        <v>77</v>
      </c>
      <c r="I201" s="2" t="s">
        <v>686</v>
      </c>
      <c r="J201" s="2" t="s">
        <v>1618</v>
      </c>
      <c r="K201" s="2" t="s">
        <v>67</v>
      </c>
      <c r="L201" s="22">
        <v>32823.03</v>
      </c>
      <c r="M201" s="22">
        <v>32823.03</v>
      </c>
      <c r="N201" s="2" t="s">
        <v>1140</v>
      </c>
      <c r="O201" s="7"/>
      <c r="P201" s="7"/>
      <c r="Q201" s="7"/>
      <c r="R201" s="7"/>
      <c r="S201" s="7"/>
      <c r="T201" s="7"/>
      <c r="U201" s="7"/>
      <c r="V201" s="7"/>
      <c r="W201" s="7"/>
      <c r="X201" s="7"/>
      <c r="Y201" s="7"/>
      <c r="Z201" s="7"/>
      <c r="AA201" s="7"/>
      <c r="AB201" s="7"/>
      <c r="AC201" s="7"/>
      <c r="AD201" s="7"/>
      <c r="AE201" s="7"/>
      <c r="AF201" s="7"/>
      <c r="AG201" s="7">
        <v>20350.28</v>
      </c>
      <c r="AH201" s="7">
        <v>12472.75</v>
      </c>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2"/>
      <c r="BX201" s="8">
        <v>46022</v>
      </c>
      <c r="BY201" s="8"/>
      <c r="BZ201" s="8" t="s">
        <v>1746</v>
      </c>
      <c r="CA201" s="14">
        <f t="shared" si="24"/>
        <v>32823.03</v>
      </c>
      <c r="CB201" s="2" t="str">
        <f t="shared" si="25"/>
        <v>OK</v>
      </c>
      <c r="CC201" s="13">
        <f t="shared" si="26"/>
        <v>0</v>
      </c>
    </row>
    <row r="202" spans="1:81" s="9" customFormat="1" ht="129.94999999999999" hidden="1" customHeight="1" x14ac:dyDescent="0.25">
      <c r="A202" s="2" t="s">
        <v>1490</v>
      </c>
      <c r="B202" s="2" t="s">
        <v>844</v>
      </c>
      <c r="C202" s="2" t="s">
        <v>681</v>
      </c>
      <c r="D202" s="12" t="s">
        <v>845</v>
      </c>
      <c r="E202" s="2"/>
      <c r="F202" s="2" t="s">
        <v>65</v>
      </c>
      <c r="G202" s="2" t="s">
        <v>2028</v>
      </c>
      <c r="H202" s="2" t="s">
        <v>77</v>
      </c>
      <c r="I202" s="2" t="s">
        <v>686</v>
      </c>
      <c r="J202" s="2" t="s">
        <v>1618</v>
      </c>
      <c r="K202" s="2" t="s">
        <v>67</v>
      </c>
      <c r="L202" s="22">
        <v>30497.25</v>
      </c>
      <c r="M202" s="22">
        <v>30497.25</v>
      </c>
      <c r="N202" s="2" t="s">
        <v>1146</v>
      </c>
      <c r="O202" s="7">
        <v>0</v>
      </c>
      <c r="P202" s="7"/>
      <c r="Q202" s="7"/>
      <c r="R202" s="7"/>
      <c r="S202" s="7"/>
      <c r="T202" s="7"/>
      <c r="U202" s="7"/>
      <c r="V202" s="7"/>
      <c r="W202" s="7"/>
      <c r="X202" s="7"/>
      <c r="Y202" s="7"/>
      <c r="Z202" s="7"/>
      <c r="AA202" s="7"/>
      <c r="AB202" s="7"/>
      <c r="AC202" s="7"/>
      <c r="AD202" s="7"/>
      <c r="AE202" s="7"/>
      <c r="AF202" s="7"/>
      <c r="AG202" s="7">
        <v>12808.84</v>
      </c>
      <c r="AH202" s="7">
        <v>17688.41</v>
      </c>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2"/>
      <c r="BX202" s="8">
        <v>46022</v>
      </c>
      <c r="BY202" s="8"/>
      <c r="BZ202" s="8" t="s">
        <v>1749</v>
      </c>
      <c r="CA202" s="14">
        <f t="shared" si="24"/>
        <v>30497.25</v>
      </c>
      <c r="CB202" s="2" t="str">
        <f t="shared" si="25"/>
        <v>OK</v>
      </c>
      <c r="CC202" s="13">
        <f t="shared" si="26"/>
        <v>0</v>
      </c>
    </row>
    <row r="203" spans="1:81" s="9" customFormat="1" ht="129.94999999999999" hidden="1" customHeight="1" x14ac:dyDescent="0.25">
      <c r="A203" s="2" t="s">
        <v>1492</v>
      </c>
      <c r="B203" s="2" t="s">
        <v>833</v>
      </c>
      <c r="C203" s="2" t="s">
        <v>681</v>
      </c>
      <c r="D203" s="12" t="s">
        <v>2107</v>
      </c>
      <c r="E203" s="2"/>
      <c r="F203" s="2" t="s">
        <v>65</v>
      </c>
      <c r="G203" s="2" t="s">
        <v>2028</v>
      </c>
      <c r="H203" s="2" t="s">
        <v>77</v>
      </c>
      <c r="I203" s="2" t="s">
        <v>686</v>
      </c>
      <c r="J203" s="2" t="s">
        <v>1618</v>
      </c>
      <c r="K203" s="2" t="s">
        <v>67</v>
      </c>
      <c r="L203" s="22">
        <v>27799.52</v>
      </c>
      <c r="M203" s="22">
        <v>27799.52</v>
      </c>
      <c r="N203" s="2" t="s">
        <v>1140</v>
      </c>
      <c r="O203" s="7">
        <v>0</v>
      </c>
      <c r="P203" s="7"/>
      <c r="Q203" s="7"/>
      <c r="R203" s="7"/>
      <c r="S203" s="7"/>
      <c r="T203" s="7"/>
      <c r="U203" s="7"/>
      <c r="V203" s="7"/>
      <c r="W203" s="7"/>
      <c r="X203" s="7"/>
      <c r="Y203" s="7"/>
      <c r="Z203" s="7"/>
      <c r="AA203" s="7"/>
      <c r="AB203" s="7"/>
      <c r="AC203" s="7"/>
      <c r="AD203" s="7"/>
      <c r="AE203" s="7"/>
      <c r="AF203" s="7"/>
      <c r="AG203" s="7">
        <v>18903.669999999998</v>
      </c>
      <c r="AH203" s="7">
        <v>8895.85</v>
      </c>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2"/>
      <c r="BX203" s="8">
        <v>46022</v>
      </c>
      <c r="BY203" s="8"/>
      <c r="BZ203" s="2"/>
      <c r="CA203" s="14">
        <f t="shared" si="24"/>
        <v>27799.519999999997</v>
      </c>
      <c r="CB203" s="2" t="str">
        <f t="shared" si="25"/>
        <v>OK</v>
      </c>
      <c r="CC203" s="13">
        <f t="shared" si="26"/>
        <v>0</v>
      </c>
    </row>
    <row r="204" spans="1:81" s="9" customFormat="1" ht="129.94999999999999" hidden="1" customHeight="1" x14ac:dyDescent="0.25">
      <c r="A204" s="2" t="s">
        <v>1495</v>
      </c>
      <c r="B204" s="2" t="s">
        <v>842</v>
      </c>
      <c r="C204" s="2" t="s">
        <v>681</v>
      </c>
      <c r="D204" s="12" t="s">
        <v>843</v>
      </c>
      <c r="E204" s="2"/>
      <c r="F204" s="2" t="s">
        <v>65</v>
      </c>
      <c r="G204" s="2" t="s">
        <v>2028</v>
      </c>
      <c r="H204" s="2" t="s">
        <v>77</v>
      </c>
      <c r="I204" s="2" t="s">
        <v>686</v>
      </c>
      <c r="J204" s="2" t="s">
        <v>1618</v>
      </c>
      <c r="K204" s="2" t="s">
        <v>67</v>
      </c>
      <c r="L204" s="22">
        <v>24149.95</v>
      </c>
      <c r="M204" s="22">
        <v>24149.95</v>
      </c>
      <c r="N204" s="2" t="s">
        <v>1140</v>
      </c>
      <c r="O204" s="7">
        <v>0</v>
      </c>
      <c r="P204" s="7"/>
      <c r="Q204" s="7"/>
      <c r="R204" s="7"/>
      <c r="S204" s="7"/>
      <c r="T204" s="7"/>
      <c r="U204" s="7"/>
      <c r="V204" s="7"/>
      <c r="W204" s="7"/>
      <c r="X204" s="7"/>
      <c r="Y204" s="7"/>
      <c r="Z204" s="7"/>
      <c r="AA204" s="7"/>
      <c r="AB204" s="7"/>
      <c r="AC204" s="7"/>
      <c r="AD204" s="7"/>
      <c r="AE204" s="7"/>
      <c r="AF204" s="7"/>
      <c r="AG204" s="7">
        <v>18595.46</v>
      </c>
      <c r="AH204" s="7">
        <v>5554.49</v>
      </c>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2"/>
      <c r="BX204" s="8">
        <v>46022</v>
      </c>
      <c r="BY204" s="8"/>
      <c r="BZ204" s="2"/>
      <c r="CA204" s="14">
        <f t="shared" si="24"/>
        <v>24149.949999999997</v>
      </c>
      <c r="CB204" s="2" t="str">
        <f t="shared" si="25"/>
        <v>OK</v>
      </c>
      <c r="CC204" s="13">
        <f t="shared" si="26"/>
        <v>0</v>
      </c>
    </row>
    <row r="205" spans="1:81" s="9" customFormat="1" ht="129.94999999999999" hidden="1" customHeight="1" x14ac:dyDescent="0.25">
      <c r="A205" s="2" t="s">
        <v>1496</v>
      </c>
      <c r="B205" s="2" t="s">
        <v>860</v>
      </c>
      <c r="C205" s="2" t="s">
        <v>681</v>
      </c>
      <c r="D205" s="12" t="s">
        <v>861</v>
      </c>
      <c r="E205" s="2"/>
      <c r="F205" s="2" t="s">
        <v>65</v>
      </c>
      <c r="G205" s="2" t="s">
        <v>2028</v>
      </c>
      <c r="H205" s="2" t="s">
        <v>77</v>
      </c>
      <c r="I205" s="2" t="s">
        <v>686</v>
      </c>
      <c r="J205" s="2" t="s">
        <v>1618</v>
      </c>
      <c r="K205" s="2" t="s">
        <v>67</v>
      </c>
      <c r="L205" s="22">
        <v>23044.560000000001</v>
      </c>
      <c r="M205" s="22">
        <v>23044.560000000001</v>
      </c>
      <c r="N205" s="2" t="s">
        <v>1146</v>
      </c>
      <c r="O205" s="7">
        <v>0</v>
      </c>
      <c r="P205" s="7"/>
      <c r="Q205" s="7"/>
      <c r="R205" s="7"/>
      <c r="S205" s="7"/>
      <c r="T205" s="7"/>
      <c r="U205" s="7"/>
      <c r="V205" s="7"/>
      <c r="W205" s="7"/>
      <c r="X205" s="7"/>
      <c r="Y205" s="7"/>
      <c r="Z205" s="7"/>
      <c r="AA205" s="7"/>
      <c r="AB205" s="7"/>
      <c r="AC205" s="7"/>
      <c r="AD205" s="7"/>
      <c r="AE205" s="7"/>
      <c r="AF205" s="7"/>
      <c r="AG205" s="7">
        <v>11983.17</v>
      </c>
      <c r="AH205" s="7">
        <v>11061.39</v>
      </c>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2"/>
      <c r="BX205" s="8">
        <v>46022</v>
      </c>
      <c r="BY205" s="8"/>
      <c r="BZ205" s="2"/>
      <c r="CA205" s="14">
        <f t="shared" si="24"/>
        <v>23044.559999999998</v>
      </c>
      <c r="CB205" s="2" t="str">
        <f t="shared" si="25"/>
        <v>OK</v>
      </c>
      <c r="CC205" s="13">
        <f t="shared" si="26"/>
        <v>0</v>
      </c>
    </row>
    <row r="206" spans="1:81" s="9" customFormat="1" ht="129.94999999999999" hidden="1" customHeight="1" x14ac:dyDescent="0.25">
      <c r="A206" s="2" t="s">
        <v>1498</v>
      </c>
      <c r="B206" s="2" t="s">
        <v>878</v>
      </c>
      <c r="C206" s="2" t="s">
        <v>681</v>
      </c>
      <c r="D206" s="12" t="s">
        <v>879</v>
      </c>
      <c r="E206" s="2"/>
      <c r="F206" s="2" t="s">
        <v>65</v>
      </c>
      <c r="G206" s="2" t="s">
        <v>2028</v>
      </c>
      <c r="H206" s="2" t="s">
        <v>77</v>
      </c>
      <c r="I206" s="2" t="s">
        <v>686</v>
      </c>
      <c r="J206" s="2" t="s">
        <v>1618</v>
      </c>
      <c r="K206" s="2" t="s">
        <v>67</v>
      </c>
      <c r="L206" s="22">
        <v>21127.23</v>
      </c>
      <c r="M206" s="22">
        <v>21127.23</v>
      </c>
      <c r="N206" s="2" t="s">
        <v>880</v>
      </c>
      <c r="O206" s="7"/>
      <c r="P206" s="7"/>
      <c r="Q206" s="7"/>
      <c r="R206" s="7"/>
      <c r="S206" s="7"/>
      <c r="T206" s="7"/>
      <c r="U206" s="7"/>
      <c r="V206" s="7"/>
      <c r="W206" s="7"/>
      <c r="X206" s="7"/>
      <c r="Y206" s="7"/>
      <c r="Z206" s="7"/>
      <c r="AA206" s="7">
        <v>1196.3</v>
      </c>
      <c r="AB206" s="7"/>
      <c r="AC206" s="7"/>
      <c r="AD206" s="7"/>
      <c r="AE206" s="7"/>
      <c r="AF206" s="7"/>
      <c r="AG206" s="7"/>
      <c r="AH206" s="7">
        <v>19930.93</v>
      </c>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2"/>
      <c r="BX206" s="8">
        <v>46022</v>
      </c>
      <c r="BY206" s="8"/>
      <c r="BZ206" s="2"/>
      <c r="CA206" s="14">
        <f t="shared" si="24"/>
        <v>21127.23</v>
      </c>
      <c r="CB206" s="2" t="str">
        <f t="shared" si="25"/>
        <v>OK</v>
      </c>
      <c r="CC206" s="13">
        <f t="shared" si="26"/>
        <v>0</v>
      </c>
    </row>
    <row r="207" spans="1:81" s="9" customFormat="1" ht="129.94999999999999" hidden="1" customHeight="1" x14ac:dyDescent="0.25">
      <c r="A207" s="2" t="s">
        <v>1500</v>
      </c>
      <c r="B207" s="2" t="s">
        <v>864</v>
      </c>
      <c r="C207" s="2" t="s">
        <v>681</v>
      </c>
      <c r="D207" s="12" t="s">
        <v>865</v>
      </c>
      <c r="E207" s="2"/>
      <c r="F207" s="2" t="s">
        <v>65</v>
      </c>
      <c r="G207" s="2" t="s">
        <v>2028</v>
      </c>
      <c r="H207" s="2" t="s">
        <v>77</v>
      </c>
      <c r="I207" s="2" t="s">
        <v>686</v>
      </c>
      <c r="J207" s="2" t="s">
        <v>1618</v>
      </c>
      <c r="K207" s="2" t="s">
        <v>67</v>
      </c>
      <c r="L207" s="22">
        <v>18397.919999999998</v>
      </c>
      <c r="M207" s="22">
        <v>18397.919999999998</v>
      </c>
      <c r="N207" s="2" t="s">
        <v>1146</v>
      </c>
      <c r="O207" s="7">
        <v>0</v>
      </c>
      <c r="P207" s="7"/>
      <c r="Q207" s="7"/>
      <c r="R207" s="7"/>
      <c r="S207" s="7"/>
      <c r="T207" s="7"/>
      <c r="U207" s="7"/>
      <c r="V207" s="7"/>
      <c r="W207" s="7"/>
      <c r="X207" s="7"/>
      <c r="Y207" s="7"/>
      <c r="Z207" s="7"/>
      <c r="AA207" s="7"/>
      <c r="AB207" s="7"/>
      <c r="AC207" s="7"/>
      <c r="AD207" s="7"/>
      <c r="AE207" s="7"/>
      <c r="AF207" s="7"/>
      <c r="AG207" s="7">
        <v>15086.29</v>
      </c>
      <c r="AH207" s="7">
        <v>3311.63</v>
      </c>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2"/>
      <c r="BX207" s="8">
        <v>46022</v>
      </c>
      <c r="BY207" s="8"/>
      <c r="BZ207" s="2"/>
      <c r="CA207" s="14">
        <f t="shared" si="24"/>
        <v>18397.920000000002</v>
      </c>
      <c r="CB207" s="2" t="str">
        <f t="shared" si="25"/>
        <v>OK</v>
      </c>
      <c r="CC207" s="13">
        <f t="shared" si="26"/>
        <v>0</v>
      </c>
    </row>
    <row r="208" spans="1:81" s="9" customFormat="1" ht="129.94999999999999" hidden="1" customHeight="1" x14ac:dyDescent="0.25">
      <c r="A208" s="2" t="s">
        <v>1501</v>
      </c>
      <c r="B208" s="2" t="s">
        <v>850</v>
      </c>
      <c r="C208" s="2" t="s">
        <v>681</v>
      </c>
      <c r="D208" s="12" t="s">
        <v>851</v>
      </c>
      <c r="E208" s="2"/>
      <c r="F208" s="2" t="s">
        <v>65</v>
      </c>
      <c r="G208" s="2" t="s">
        <v>2028</v>
      </c>
      <c r="H208" s="2" t="s">
        <v>77</v>
      </c>
      <c r="I208" s="2" t="s">
        <v>686</v>
      </c>
      <c r="J208" s="2" t="s">
        <v>1618</v>
      </c>
      <c r="K208" s="2" t="s">
        <v>67</v>
      </c>
      <c r="L208" s="22">
        <v>18377.12</v>
      </c>
      <c r="M208" s="22">
        <v>18377.12</v>
      </c>
      <c r="N208" s="2" t="s">
        <v>49</v>
      </c>
      <c r="O208" s="7">
        <v>0</v>
      </c>
      <c r="P208" s="7"/>
      <c r="Q208" s="7"/>
      <c r="R208" s="7"/>
      <c r="S208" s="7"/>
      <c r="T208" s="7"/>
      <c r="U208" s="7"/>
      <c r="V208" s="7"/>
      <c r="W208" s="7"/>
      <c r="X208" s="7"/>
      <c r="Y208" s="7"/>
      <c r="Z208" s="7"/>
      <c r="AA208" s="7"/>
      <c r="AB208" s="7"/>
      <c r="AC208" s="7"/>
      <c r="AD208" s="7"/>
      <c r="AE208" s="7"/>
      <c r="AF208" s="7"/>
      <c r="AG208" s="7"/>
      <c r="AH208" s="7">
        <v>18377.12</v>
      </c>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2"/>
      <c r="BX208" s="8">
        <v>46022</v>
      </c>
      <c r="BY208" s="8"/>
      <c r="BZ208" s="2"/>
      <c r="CA208" s="14">
        <f t="shared" si="24"/>
        <v>18377.12</v>
      </c>
      <c r="CB208" s="2" t="str">
        <f t="shared" si="25"/>
        <v>OK</v>
      </c>
      <c r="CC208" s="13">
        <f t="shared" si="26"/>
        <v>0</v>
      </c>
    </row>
    <row r="209" spans="1:81" s="9" customFormat="1" ht="129.94999999999999" hidden="1" customHeight="1" x14ac:dyDescent="0.25">
      <c r="A209" s="2" t="s">
        <v>1504</v>
      </c>
      <c r="B209" s="2" t="s">
        <v>911</v>
      </c>
      <c r="C209" s="2" t="s">
        <v>681</v>
      </c>
      <c r="D209" s="12" t="s">
        <v>912</v>
      </c>
      <c r="E209" s="2"/>
      <c r="F209" s="2" t="s">
        <v>65</v>
      </c>
      <c r="G209" s="2" t="s">
        <v>2028</v>
      </c>
      <c r="H209" s="2" t="s">
        <v>77</v>
      </c>
      <c r="I209" s="2" t="s">
        <v>686</v>
      </c>
      <c r="J209" s="2" t="s">
        <v>1618</v>
      </c>
      <c r="K209" s="2" t="s">
        <v>67</v>
      </c>
      <c r="L209" s="22">
        <v>17173.150000000001</v>
      </c>
      <c r="M209" s="22">
        <v>17173.150000000001</v>
      </c>
      <c r="N209" s="2" t="s">
        <v>1140</v>
      </c>
      <c r="O209" s="7"/>
      <c r="P209" s="7"/>
      <c r="Q209" s="7"/>
      <c r="R209" s="7"/>
      <c r="S209" s="7"/>
      <c r="T209" s="7"/>
      <c r="U209" s="7"/>
      <c r="V209" s="7"/>
      <c r="W209" s="7"/>
      <c r="X209" s="7"/>
      <c r="Y209" s="7"/>
      <c r="Z209" s="7"/>
      <c r="AA209" s="7"/>
      <c r="AB209" s="7"/>
      <c r="AC209" s="7"/>
      <c r="AD209" s="7"/>
      <c r="AE209" s="7"/>
      <c r="AF209" s="7"/>
      <c r="AG209" s="7">
        <v>7040.99</v>
      </c>
      <c r="AH209" s="7">
        <v>10132.16</v>
      </c>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2"/>
      <c r="BX209" s="8">
        <v>46022</v>
      </c>
      <c r="BY209" s="8"/>
      <c r="BZ209" s="2"/>
      <c r="CA209" s="14">
        <f t="shared" si="24"/>
        <v>17173.150000000001</v>
      </c>
      <c r="CB209" s="2" t="str">
        <f t="shared" si="25"/>
        <v>OK</v>
      </c>
      <c r="CC209" s="13">
        <f t="shared" si="26"/>
        <v>0</v>
      </c>
    </row>
    <row r="210" spans="1:81" s="9" customFormat="1" ht="129.94999999999999" hidden="1" customHeight="1" x14ac:dyDescent="0.25">
      <c r="A210" s="2" t="s">
        <v>1507</v>
      </c>
      <c r="B210" s="2" t="s">
        <v>913</v>
      </c>
      <c r="C210" s="2" t="s">
        <v>681</v>
      </c>
      <c r="D210" s="12" t="s">
        <v>914</v>
      </c>
      <c r="E210" s="2"/>
      <c r="F210" s="2" t="s">
        <v>65</v>
      </c>
      <c r="G210" s="2" t="s">
        <v>2028</v>
      </c>
      <c r="H210" s="2" t="s">
        <v>77</v>
      </c>
      <c r="I210" s="2" t="s">
        <v>686</v>
      </c>
      <c r="J210" s="2" t="s">
        <v>1618</v>
      </c>
      <c r="K210" s="2" t="s">
        <v>67</v>
      </c>
      <c r="L210" s="22">
        <v>15430.55</v>
      </c>
      <c r="M210" s="22">
        <v>15430.55</v>
      </c>
      <c r="N210" s="2" t="s">
        <v>1140</v>
      </c>
      <c r="O210" s="7">
        <v>0</v>
      </c>
      <c r="P210" s="7"/>
      <c r="Q210" s="7"/>
      <c r="R210" s="7"/>
      <c r="S210" s="7"/>
      <c r="T210" s="7"/>
      <c r="U210" s="7"/>
      <c r="V210" s="7"/>
      <c r="W210" s="7"/>
      <c r="X210" s="7"/>
      <c r="Y210" s="7"/>
      <c r="Z210" s="7"/>
      <c r="AA210" s="7"/>
      <c r="AB210" s="7"/>
      <c r="AC210" s="7"/>
      <c r="AD210" s="7"/>
      <c r="AE210" s="7"/>
      <c r="AF210" s="7"/>
      <c r="AG210" s="7">
        <v>10801.39</v>
      </c>
      <c r="AH210" s="7">
        <v>4629.16</v>
      </c>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2"/>
      <c r="BX210" s="8">
        <v>46022</v>
      </c>
      <c r="BY210" s="8"/>
      <c r="BZ210" s="2"/>
      <c r="CA210" s="14">
        <f t="shared" si="24"/>
        <v>15430.55</v>
      </c>
      <c r="CB210" s="2" t="str">
        <f t="shared" si="25"/>
        <v>OK</v>
      </c>
      <c r="CC210" s="13">
        <f t="shared" si="26"/>
        <v>0</v>
      </c>
    </row>
    <row r="211" spans="1:81" s="9" customFormat="1" ht="129.94999999999999" hidden="1" customHeight="1" x14ac:dyDescent="0.25">
      <c r="A211" s="2" t="s">
        <v>1511</v>
      </c>
      <c r="B211" s="2" t="s">
        <v>852</v>
      </c>
      <c r="C211" s="2" t="s">
        <v>681</v>
      </c>
      <c r="D211" s="12" t="s">
        <v>853</v>
      </c>
      <c r="E211" s="2"/>
      <c r="F211" s="2" t="s">
        <v>65</v>
      </c>
      <c r="G211" s="2" t="s">
        <v>2028</v>
      </c>
      <c r="H211" s="2" t="s">
        <v>77</v>
      </c>
      <c r="I211" s="2" t="s">
        <v>686</v>
      </c>
      <c r="J211" s="2" t="s">
        <v>1618</v>
      </c>
      <c r="K211" s="2" t="s">
        <v>67</v>
      </c>
      <c r="L211" s="22">
        <v>13576.83</v>
      </c>
      <c r="M211" s="22">
        <v>13576.83</v>
      </c>
      <c r="N211" s="2" t="s">
        <v>49</v>
      </c>
      <c r="O211" s="7">
        <v>0</v>
      </c>
      <c r="P211" s="7"/>
      <c r="Q211" s="7"/>
      <c r="R211" s="7"/>
      <c r="S211" s="7"/>
      <c r="T211" s="7"/>
      <c r="U211" s="7"/>
      <c r="V211" s="7"/>
      <c r="W211" s="7"/>
      <c r="X211" s="7"/>
      <c r="Y211" s="7"/>
      <c r="Z211" s="7"/>
      <c r="AA211" s="7"/>
      <c r="AB211" s="7"/>
      <c r="AC211" s="7"/>
      <c r="AD211" s="7"/>
      <c r="AE211" s="7"/>
      <c r="AF211" s="7"/>
      <c r="AG211" s="7"/>
      <c r="AH211" s="7">
        <v>13576.83</v>
      </c>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2"/>
      <c r="BX211" s="8">
        <v>46022</v>
      </c>
      <c r="BY211" s="8"/>
      <c r="BZ211" s="2"/>
      <c r="CA211" s="14">
        <f t="shared" si="24"/>
        <v>13576.83</v>
      </c>
      <c r="CB211" s="2" t="str">
        <f t="shared" si="25"/>
        <v>OK</v>
      </c>
      <c r="CC211" s="13">
        <f t="shared" si="26"/>
        <v>0</v>
      </c>
    </row>
    <row r="212" spans="1:81" s="9" customFormat="1" ht="129.94999999999999" hidden="1" customHeight="1" x14ac:dyDescent="0.25">
      <c r="A212" s="2" t="s">
        <v>1512</v>
      </c>
      <c r="B212" s="2" t="s">
        <v>869</v>
      </c>
      <c r="C212" s="2" t="s">
        <v>681</v>
      </c>
      <c r="D212" s="12" t="s">
        <v>2108</v>
      </c>
      <c r="E212" s="2"/>
      <c r="F212" s="2" t="s">
        <v>65</v>
      </c>
      <c r="G212" s="2" t="s">
        <v>2028</v>
      </c>
      <c r="H212" s="2" t="s">
        <v>77</v>
      </c>
      <c r="I212" s="2" t="s">
        <v>686</v>
      </c>
      <c r="J212" s="2" t="s">
        <v>1618</v>
      </c>
      <c r="K212" s="2" t="s">
        <v>67</v>
      </c>
      <c r="L212" s="22">
        <v>13528.77</v>
      </c>
      <c r="M212" s="22">
        <v>13528.77</v>
      </c>
      <c r="N212" s="2" t="s">
        <v>1146</v>
      </c>
      <c r="O212" s="7">
        <v>0</v>
      </c>
      <c r="P212" s="7"/>
      <c r="Q212" s="7"/>
      <c r="R212" s="7"/>
      <c r="S212" s="7"/>
      <c r="T212" s="7"/>
      <c r="U212" s="7"/>
      <c r="V212" s="7"/>
      <c r="W212" s="7"/>
      <c r="X212" s="7"/>
      <c r="Y212" s="7"/>
      <c r="Z212" s="7"/>
      <c r="AA212" s="7"/>
      <c r="AB212" s="7"/>
      <c r="AC212" s="7"/>
      <c r="AD212" s="7"/>
      <c r="AE212" s="7"/>
      <c r="AF212" s="7"/>
      <c r="AG212" s="7">
        <v>6764.39</v>
      </c>
      <c r="AH212" s="7">
        <v>6764.38</v>
      </c>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2"/>
      <c r="BX212" s="8">
        <v>46022</v>
      </c>
      <c r="BY212" s="8"/>
      <c r="BZ212" s="2"/>
      <c r="CA212" s="14">
        <f t="shared" si="24"/>
        <v>13528.77</v>
      </c>
      <c r="CB212" s="2" t="str">
        <f t="shared" si="25"/>
        <v>OK</v>
      </c>
      <c r="CC212" s="13">
        <f t="shared" si="26"/>
        <v>0</v>
      </c>
    </row>
    <row r="213" spans="1:81" s="9" customFormat="1" ht="129.94999999999999" hidden="1" customHeight="1" x14ac:dyDescent="0.25">
      <c r="A213" s="2" t="s">
        <v>1515</v>
      </c>
      <c r="B213" s="2" t="s">
        <v>883</v>
      </c>
      <c r="C213" s="2" t="s">
        <v>681</v>
      </c>
      <c r="D213" s="12" t="s">
        <v>884</v>
      </c>
      <c r="E213" s="2"/>
      <c r="F213" s="2" t="s">
        <v>65</v>
      </c>
      <c r="G213" s="2" t="s">
        <v>2028</v>
      </c>
      <c r="H213" s="2" t="s">
        <v>77</v>
      </c>
      <c r="I213" s="2" t="s">
        <v>686</v>
      </c>
      <c r="J213" s="2" t="s">
        <v>1618</v>
      </c>
      <c r="K213" s="2" t="s">
        <v>67</v>
      </c>
      <c r="L213" s="22">
        <v>12137.4</v>
      </c>
      <c r="M213" s="22">
        <v>12137.4</v>
      </c>
      <c r="N213" s="2" t="s">
        <v>1137</v>
      </c>
      <c r="O213" s="7"/>
      <c r="P213" s="7"/>
      <c r="Q213" s="7"/>
      <c r="R213" s="7"/>
      <c r="S213" s="7"/>
      <c r="T213" s="7"/>
      <c r="U213" s="7"/>
      <c r="V213" s="7"/>
      <c r="W213" s="7"/>
      <c r="X213" s="7"/>
      <c r="Y213" s="7"/>
      <c r="Z213" s="7"/>
      <c r="AA213" s="7"/>
      <c r="AB213" s="7"/>
      <c r="AC213" s="7"/>
      <c r="AD213" s="7"/>
      <c r="AE213" s="7"/>
      <c r="AF213" s="7"/>
      <c r="AG213" s="7">
        <v>9013.0499999999993</v>
      </c>
      <c r="AH213" s="7">
        <v>3124.35</v>
      </c>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2"/>
      <c r="BX213" s="8">
        <v>46022</v>
      </c>
      <c r="BY213" s="8"/>
      <c r="BZ213" s="8" t="s">
        <v>1744</v>
      </c>
      <c r="CA213" s="14">
        <f t="shared" si="24"/>
        <v>12137.4</v>
      </c>
      <c r="CB213" s="2" t="str">
        <f t="shared" si="25"/>
        <v>OK</v>
      </c>
      <c r="CC213" s="13">
        <f t="shared" si="26"/>
        <v>0</v>
      </c>
    </row>
    <row r="214" spans="1:81" s="9" customFormat="1" ht="0.75" hidden="1" customHeight="1" x14ac:dyDescent="0.25">
      <c r="A214" s="2" t="s">
        <v>1516</v>
      </c>
      <c r="B214" s="2" t="s">
        <v>862</v>
      </c>
      <c r="C214" s="2" t="s">
        <v>681</v>
      </c>
      <c r="D214" s="12" t="s">
        <v>863</v>
      </c>
      <c r="E214" s="2"/>
      <c r="F214" s="2" t="s">
        <v>65</v>
      </c>
      <c r="G214" s="2" t="s">
        <v>2028</v>
      </c>
      <c r="H214" s="2" t="s">
        <v>77</v>
      </c>
      <c r="I214" s="2" t="s">
        <v>686</v>
      </c>
      <c r="J214" s="2" t="s">
        <v>1618</v>
      </c>
      <c r="K214" s="2" t="s">
        <v>67</v>
      </c>
      <c r="L214" s="22">
        <v>11850.75</v>
      </c>
      <c r="M214" s="22">
        <v>11850.75</v>
      </c>
      <c r="N214" s="2" t="s">
        <v>49</v>
      </c>
      <c r="O214" s="7"/>
      <c r="P214" s="7"/>
      <c r="Q214" s="7"/>
      <c r="R214" s="7"/>
      <c r="S214" s="7"/>
      <c r="T214" s="7"/>
      <c r="U214" s="7"/>
      <c r="V214" s="7"/>
      <c r="W214" s="7"/>
      <c r="X214" s="7"/>
      <c r="Y214" s="7"/>
      <c r="Z214" s="7"/>
      <c r="AA214" s="7"/>
      <c r="AB214" s="7"/>
      <c r="AC214" s="7"/>
      <c r="AD214" s="7"/>
      <c r="AE214" s="7"/>
      <c r="AF214" s="7"/>
      <c r="AG214" s="7"/>
      <c r="AH214" s="7">
        <v>11850.75</v>
      </c>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2"/>
      <c r="BX214" s="8">
        <v>46022</v>
      </c>
      <c r="BY214" s="8"/>
      <c r="BZ214" s="2"/>
      <c r="CA214" s="14">
        <f t="shared" si="24"/>
        <v>11850.75</v>
      </c>
      <c r="CB214" s="2" t="str">
        <f t="shared" si="25"/>
        <v>OK</v>
      </c>
      <c r="CC214" s="13">
        <f t="shared" si="26"/>
        <v>0</v>
      </c>
    </row>
    <row r="215" spans="1:81" s="9" customFormat="1" ht="60" customHeight="1" x14ac:dyDescent="0.25">
      <c r="A215" s="2" t="s">
        <v>1420</v>
      </c>
      <c r="B215" s="2" t="s">
        <v>698</v>
      </c>
      <c r="C215" s="2" t="s">
        <v>681</v>
      </c>
      <c r="D215" s="12" t="s">
        <v>699</v>
      </c>
      <c r="E215" s="2"/>
      <c r="F215" s="2" t="s">
        <v>72</v>
      </c>
      <c r="G215" s="2" t="s">
        <v>1669</v>
      </c>
      <c r="H215" s="2" t="s">
        <v>66</v>
      </c>
      <c r="I215" s="2" t="s">
        <v>686</v>
      </c>
      <c r="J215" s="2" t="s">
        <v>1618</v>
      </c>
      <c r="K215" s="2" t="s">
        <v>384</v>
      </c>
      <c r="L215" s="22">
        <v>810059.6</v>
      </c>
      <c r="M215" s="22">
        <v>810059.6</v>
      </c>
      <c r="N215" s="2" t="s">
        <v>11</v>
      </c>
      <c r="O215" s="7">
        <v>0</v>
      </c>
      <c r="P215" s="7"/>
      <c r="Q215" s="7"/>
      <c r="R215" s="7"/>
      <c r="S215" s="7"/>
      <c r="T215" s="7"/>
      <c r="U215" s="7">
        <v>810059.6</v>
      </c>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8">
        <v>45852</v>
      </c>
      <c r="BX215" s="2"/>
      <c r="BY215" s="2" t="s">
        <v>1801</v>
      </c>
      <c r="BZ215" s="2"/>
      <c r="CA215" s="14">
        <f t="shared" si="24"/>
        <v>810059.6</v>
      </c>
      <c r="CB215" s="2" t="str">
        <f t="shared" si="25"/>
        <v>OK</v>
      </c>
      <c r="CC215" s="13">
        <f t="shared" si="26"/>
        <v>0</v>
      </c>
    </row>
    <row r="216" spans="1:81" s="9" customFormat="1" ht="91.5" customHeight="1" x14ac:dyDescent="0.25">
      <c r="A216" s="2" t="s">
        <v>1431</v>
      </c>
      <c r="B216" s="2" t="s">
        <v>948</v>
      </c>
      <c r="C216" s="2" t="s">
        <v>681</v>
      </c>
      <c r="D216" s="12" t="s">
        <v>949</v>
      </c>
      <c r="E216" s="2"/>
      <c r="F216" s="2" t="s">
        <v>65</v>
      </c>
      <c r="G216" s="2" t="s">
        <v>1669</v>
      </c>
      <c r="H216" s="2" t="s">
        <v>66</v>
      </c>
      <c r="I216" s="2" t="s">
        <v>686</v>
      </c>
      <c r="J216" s="2">
        <v>60</v>
      </c>
      <c r="K216" s="2" t="s">
        <v>67</v>
      </c>
      <c r="L216" s="22">
        <v>359940</v>
      </c>
      <c r="M216" s="22">
        <v>359940</v>
      </c>
      <c r="N216" s="2" t="s">
        <v>14</v>
      </c>
      <c r="O216" s="7"/>
      <c r="P216" s="7"/>
      <c r="Q216" s="7"/>
      <c r="R216" s="7"/>
      <c r="S216" s="7"/>
      <c r="T216" s="7"/>
      <c r="U216" s="7">
        <v>0</v>
      </c>
      <c r="V216" s="7"/>
      <c r="W216" s="7"/>
      <c r="X216" s="7"/>
      <c r="Y216" s="7"/>
      <c r="Z216" s="7"/>
      <c r="AA216" s="7">
        <v>359940</v>
      </c>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8">
        <v>45992</v>
      </c>
      <c r="BX216" s="2"/>
      <c r="BY216" s="2" t="s">
        <v>1805</v>
      </c>
      <c r="BZ216" s="2"/>
      <c r="CA216" s="14">
        <f t="shared" si="24"/>
        <v>359940</v>
      </c>
      <c r="CB216" s="2" t="str">
        <f t="shared" si="25"/>
        <v>OK</v>
      </c>
      <c r="CC216" s="13">
        <f t="shared" si="26"/>
        <v>0</v>
      </c>
    </row>
    <row r="217" spans="1:81" s="9" customFormat="1" ht="117" customHeight="1" x14ac:dyDescent="0.25">
      <c r="A217" s="64" t="s">
        <v>1159</v>
      </c>
      <c r="B217" s="64" t="s">
        <v>95</v>
      </c>
      <c r="C217" s="64" t="s">
        <v>74</v>
      </c>
      <c r="D217" s="65" t="s">
        <v>96</v>
      </c>
      <c r="E217" s="60"/>
      <c r="F217" s="64" t="s">
        <v>65</v>
      </c>
      <c r="G217" s="64" t="s">
        <v>2035</v>
      </c>
      <c r="H217" s="64" t="s">
        <v>66</v>
      </c>
      <c r="I217" s="64" t="s">
        <v>5</v>
      </c>
      <c r="J217" s="64" t="s">
        <v>1618</v>
      </c>
      <c r="K217" s="64" t="s">
        <v>67</v>
      </c>
      <c r="L217" s="66">
        <v>72687504</v>
      </c>
      <c r="M217" s="66">
        <f>36343752.41-20000000-3249899.41</f>
        <v>13093852.999999996</v>
      </c>
      <c r="N217" s="64" t="s">
        <v>39</v>
      </c>
      <c r="O217" s="58">
        <v>0</v>
      </c>
      <c r="P217" s="58"/>
      <c r="Q217" s="58"/>
      <c r="R217" s="58"/>
      <c r="S217" s="58"/>
      <c r="T217" s="58"/>
      <c r="U217" s="58"/>
      <c r="V217" s="58"/>
      <c r="W217" s="58"/>
      <c r="X217" s="58"/>
      <c r="Y217" s="58"/>
      <c r="Z217" s="58"/>
      <c r="AA217" s="96"/>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8"/>
      <c r="BE217" s="58"/>
      <c r="BF217" s="58"/>
      <c r="BG217" s="58"/>
      <c r="BH217" s="58"/>
      <c r="BI217" s="58"/>
      <c r="BJ217" s="58"/>
      <c r="BK217" s="58"/>
      <c r="BL217" s="58"/>
      <c r="BM217" s="58"/>
      <c r="BN217" s="58"/>
      <c r="BO217" s="58"/>
      <c r="BP217" s="58"/>
      <c r="BQ217" s="58"/>
      <c r="BR217" s="58"/>
      <c r="BS217" s="58">
        <f>16343752.41-3249899.41</f>
        <v>13093853</v>
      </c>
      <c r="BT217" s="58"/>
      <c r="BU217" s="58"/>
      <c r="BV217" s="58"/>
      <c r="BW217" s="67">
        <v>45811</v>
      </c>
      <c r="BX217" s="57"/>
      <c r="BY217" s="64" t="s">
        <v>1800</v>
      </c>
      <c r="BZ217" s="2"/>
      <c r="CA217" s="14">
        <f t="shared" si="24"/>
        <v>13093853</v>
      </c>
      <c r="CB217" s="2" t="str">
        <f t="shared" si="25"/>
        <v>OK</v>
      </c>
      <c r="CC217" s="13">
        <f t="shared" si="26"/>
        <v>0</v>
      </c>
    </row>
    <row r="218" spans="1:81" s="9" customFormat="1" ht="129.94999999999999" customHeight="1" x14ac:dyDescent="0.25">
      <c r="A218" s="2" t="s">
        <v>1342</v>
      </c>
      <c r="B218" s="2" t="s">
        <v>584</v>
      </c>
      <c r="C218" s="2" t="s">
        <v>552</v>
      </c>
      <c r="D218" s="12" t="s">
        <v>585</v>
      </c>
      <c r="E218" s="2"/>
      <c r="F218" s="2" t="s">
        <v>72</v>
      </c>
      <c r="G218" s="2" t="s">
        <v>1788</v>
      </c>
      <c r="H218" s="2" t="s">
        <v>66</v>
      </c>
      <c r="I218" s="2" t="s">
        <v>686</v>
      </c>
      <c r="J218" s="2" t="s">
        <v>1618</v>
      </c>
      <c r="K218" s="2" t="s">
        <v>67</v>
      </c>
      <c r="L218" s="22">
        <v>35865014.640000001</v>
      </c>
      <c r="M218" s="22">
        <v>17932507.32</v>
      </c>
      <c r="N218" s="2" t="s">
        <v>558</v>
      </c>
      <c r="O218" s="7"/>
      <c r="P218" s="7"/>
      <c r="Q218" s="7"/>
      <c r="R218" s="7"/>
      <c r="S218" s="7"/>
      <c r="T218" s="7"/>
      <c r="U218" s="7"/>
      <c r="V218" s="7"/>
      <c r="W218" s="7"/>
      <c r="X218" s="7"/>
      <c r="Y218" s="7"/>
      <c r="Z218" s="7"/>
      <c r="AA218" s="7">
        <v>537975.22</v>
      </c>
      <c r="AB218" s="7"/>
      <c r="AC218" s="7"/>
      <c r="AD218" s="7"/>
      <c r="AE218" s="7"/>
      <c r="AF218" s="7"/>
      <c r="AG218" s="7">
        <v>7531653.0700000003</v>
      </c>
      <c r="AH218" s="7">
        <v>9862879.0299999993</v>
      </c>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8">
        <v>45600</v>
      </c>
      <c r="BX218" s="2"/>
      <c r="BY218" s="2" t="s">
        <v>1799</v>
      </c>
      <c r="BZ218" s="2"/>
      <c r="CA218" s="14">
        <f t="shared" si="24"/>
        <v>17932507.32</v>
      </c>
      <c r="CB218" s="2" t="str">
        <f t="shared" si="25"/>
        <v>OK</v>
      </c>
      <c r="CC218" s="13">
        <f t="shared" si="26"/>
        <v>0</v>
      </c>
    </row>
    <row r="219" spans="1:81" s="9" customFormat="1" ht="159.75" customHeight="1" x14ac:dyDescent="0.25">
      <c r="A219" s="2" t="s">
        <v>1333</v>
      </c>
      <c r="B219" s="2" t="s">
        <v>581</v>
      </c>
      <c r="C219" s="2" t="s">
        <v>552</v>
      </c>
      <c r="D219" s="12" t="s">
        <v>1833</v>
      </c>
      <c r="E219" s="2"/>
      <c r="F219" s="2" t="s">
        <v>72</v>
      </c>
      <c r="G219" s="2" t="s">
        <v>1788</v>
      </c>
      <c r="H219" s="2" t="s">
        <v>66</v>
      </c>
      <c r="I219" s="2" t="s">
        <v>686</v>
      </c>
      <c r="J219" s="2" t="s">
        <v>1618</v>
      </c>
      <c r="K219" s="2" t="s">
        <v>67</v>
      </c>
      <c r="L219" s="22">
        <v>141176296.90000001</v>
      </c>
      <c r="M219" s="22">
        <v>28235529.390000001</v>
      </c>
      <c r="N219" s="2" t="s">
        <v>558</v>
      </c>
      <c r="O219" s="7"/>
      <c r="P219" s="7"/>
      <c r="Q219" s="7"/>
      <c r="R219" s="7"/>
      <c r="S219" s="7"/>
      <c r="T219" s="7"/>
      <c r="U219" s="7"/>
      <c r="V219" s="7"/>
      <c r="W219" s="7"/>
      <c r="X219" s="7"/>
      <c r="Y219" s="7"/>
      <c r="Z219" s="7"/>
      <c r="AA219" s="7">
        <v>847065.88</v>
      </c>
      <c r="AB219" s="7"/>
      <c r="AC219" s="7"/>
      <c r="AD219" s="7"/>
      <c r="AE219" s="7"/>
      <c r="AF219" s="7"/>
      <c r="AG219" s="7">
        <v>11858922.34</v>
      </c>
      <c r="AH219" s="7">
        <v>15529541.16</v>
      </c>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8">
        <v>45670</v>
      </c>
      <c r="BX219" s="2"/>
      <c r="BY219" s="2" t="s">
        <v>1801</v>
      </c>
      <c r="BZ219" s="2"/>
      <c r="CA219" s="14">
        <f t="shared" si="24"/>
        <v>28235529.380000003</v>
      </c>
      <c r="CB219" s="2" t="str">
        <f t="shared" si="25"/>
        <v>CORRIGIR</v>
      </c>
      <c r="CC219" s="13">
        <f t="shared" si="26"/>
        <v>9.9999979138374329E-3</v>
      </c>
    </row>
    <row r="220" spans="1:81" s="9" customFormat="1" ht="142.5" customHeight="1" x14ac:dyDescent="0.25">
      <c r="A220" s="64" t="s">
        <v>1236</v>
      </c>
      <c r="B220" s="64" t="s">
        <v>612</v>
      </c>
      <c r="C220" s="64" t="s">
        <v>342</v>
      </c>
      <c r="D220" s="65" t="s">
        <v>613</v>
      </c>
      <c r="E220" s="2"/>
      <c r="F220" s="64" t="s">
        <v>72</v>
      </c>
      <c r="G220" s="64" t="s">
        <v>2034</v>
      </c>
      <c r="H220" s="64" t="s">
        <v>66</v>
      </c>
      <c r="I220" s="64" t="s">
        <v>686</v>
      </c>
      <c r="J220" s="64" t="s">
        <v>1618</v>
      </c>
      <c r="K220" s="64" t="s">
        <v>67</v>
      </c>
      <c r="L220" s="66">
        <v>11150899.960000001</v>
      </c>
      <c r="M220" s="66">
        <f>3716966.65-565180.7-260632.5</f>
        <v>2891153.45</v>
      </c>
      <c r="N220" s="64" t="s">
        <v>2013</v>
      </c>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v>224511.77</v>
      </c>
      <c r="AO220" s="7">
        <v>3492454.88</v>
      </c>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67">
        <v>45691</v>
      </c>
      <c r="BX220" s="2"/>
      <c r="BY220" s="64" t="s">
        <v>1799</v>
      </c>
      <c r="BZ220" s="8" t="s">
        <v>1771</v>
      </c>
      <c r="CA220" s="14">
        <f t="shared" si="24"/>
        <v>3716966.65</v>
      </c>
      <c r="CB220" s="2" t="str">
        <f t="shared" si="25"/>
        <v>CORRIGIR</v>
      </c>
      <c r="CC220" s="13">
        <f t="shared" si="26"/>
        <v>-825813.19999999972</v>
      </c>
    </row>
    <row r="221" spans="1:81" s="9" customFormat="1" ht="95.25" customHeight="1" x14ac:dyDescent="0.25">
      <c r="A221" s="64" t="s">
        <v>1999</v>
      </c>
      <c r="B221" s="64" t="s">
        <v>2083</v>
      </c>
      <c r="C221" s="64" t="s">
        <v>342</v>
      </c>
      <c r="D221" s="65" t="s">
        <v>2000</v>
      </c>
      <c r="E221" s="2"/>
      <c r="F221" s="64" t="s">
        <v>72</v>
      </c>
      <c r="G221" s="64" t="s">
        <v>2034</v>
      </c>
      <c r="H221" s="64" t="s">
        <v>66</v>
      </c>
      <c r="I221" s="64" t="s">
        <v>686</v>
      </c>
      <c r="J221" s="64" t="s">
        <v>1618</v>
      </c>
      <c r="K221" s="64" t="s">
        <v>67</v>
      </c>
      <c r="L221" s="66">
        <v>7648778.8099999996</v>
      </c>
      <c r="M221" s="66">
        <v>565180.69999999995</v>
      </c>
      <c r="N221" s="64" t="s">
        <v>2013</v>
      </c>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67">
        <v>45946</v>
      </c>
      <c r="BX221" s="2"/>
      <c r="BY221" s="67" t="s">
        <v>1801</v>
      </c>
      <c r="BZ221" s="2"/>
      <c r="CA221" s="14">
        <f t="shared" si="24"/>
        <v>0</v>
      </c>
      <c r="CB221" s="2" t="str">
        <f t="shared" si="25"/>
        <v>CORRIGIR</v>
      </c>
      <c r="CC221" s="13">
        <f t="shared" si="26"/>
        <v>565180.69999999995</v>
      </c>
    </row>
    <row r="222" spans="1:81" s="9" customFormat="1" ht="137.25" customHeight="1" x14ac:dyDescent="0.25">
      <c r="A222" s="64" t="s">
        <v>1384</v>
      </c>
      <c r="B222" s="64" t="s">
        <v>680</v>
      </c>
      <c r="C222" s="64" t="s">
        <v>681</v>
      </c>
      <c r="D222" s="65" t="s">
        <v>682</v>
      </c>
      <c r="E222" s="2"/>
      <c r="F222" s="64" t="s">
        <v>65</v>
      </c>
      <c r="G222" s="64" t="s">
        <v>1788</v>
      </c>
      <c r="H222" s="64" t="s">
        <v>66</v>
      </c>
      <c r="I222" s="64" t="s">
        <v>686</v>
      </c>
      <c r="J222" s="64" t="s">
        <v>1618</v>
      </c>
      <c r="K222" s="64" t="s">
        <v>67</v>
      </c>
      <c r="L222" s="66">
        <f>75782788.92+221537675.96</f>
        <v>297320464.88</v>
      </c>
      <c r="M222" s="66">
        <f>75782788.92-26229378.12</f>
        <v>49553410.799999997</v>
      </c>
      <c r="N222" s="64" t="s">
        <v>683</v>
      </c>
      <c r="O222" s="7"/>
      <c r="P222" s="7"/>
      <c r="Q222" s="7"/>
      <c r="R222" s="7"/>
      <c r="S222" s="7"/>
      <c r="T222" s="7"/>
      <c r="U222" s="7"/>
      <c r="V222" s="7"/>
      <c r="W222" s="7"/>
      <c r="X222" s="7"/>
      <c r="Y222" s="7"/>
      <c r="Z222" s="7"/>
      <c r="AA222" s="7">
        <v>22734836.670000002</v>
      </c>
      <c r="AB222" s="7"/>
      <c r="AC222" s="7"/>
      <c r="AD222" s="7"/>
      <c r="AE222" s="7"/>
      <c r="AF222" s="7"/>
      <c r="AG222" s="7">
        <v>3789139.45</v>
      </c>
      <c r="AH222" s="7">
        <v>49258812.799999997</v>
      </c>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67">
        <v>45782</v>
      </c>
      <c r="BX222" s="2"/>
      <c r="BY222" s="64" t="s">
        <v>1800</v>
      </c>
      <c r="BZ222" s="2" t="s">
        <v>1756</v>
      </c>
      <c r="CA222" s="14">
        <f t="shared" si="24"/>
        <v>75782788.920000002</v>
      </c>
      <c r="CB222" s="2" t="str">
        <f t="shared" si="25"/>
        <v>CORRIGIR</v>
      </c>
      <c r="CC222" s="13">
        <f t="shared" si="26"/>
        <v>-26229378.120000005</v>
      </c>
    </row>
    <row r="223" spans="1:81" s="9" customFormat="1" ht="100.5" customHeight="1" x14ac:dyDescent="0.25">
      <c r="A223" s="2" t="s">
        <v>1221</v>
      </c>
      <c r="B223" s="2" t="s">
        <v>289</v>
      </c>
      <c r="C223" s="2" t="s">
        <v>274</v>
      </c>
      <c r="D223" s="12" t="s">
        <v>290</v>
      </c>
      <c r="E223" s="2"/>
      <c r="F223" s="2" t="s">
        <v>65</v>
      </c>
      <c r="G223" s="2" t="s">
        <v>1788</v>
      </c>
      <c r="H223" s="2" t="s">
        <v>66</v>
      </c>
      <c r="I223" s="2" t="s">
        <v>686</v>
      </c>
      <c r="J223" s="2" t="s">
        <v>1618</v>
      </c>
      <c r="K223" s="2" t="s">
        <v>67</v>
      </c>
      <c r="L223" s="22">
        <v>851289.9</v>
      </c>
      <c r="M223" s="22">
        <v>851289.9</v>
      </c>
      <c r="N223" s="2" t="s">
        <v>42</v>
      </c>
      <c r="O223" s="7">
        <v>0</v>
      </c>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v>851289.9</v>
      </c>
      <c r="BW223" s="8">
        <v>45839</v>
      </c>
      <c r="BX223" s="2"/>
      <c r="BY223" s="2" t="s">
        <v>1800</v>
      </c>
      <c r="BZ223" s="2" t="s">
        <v>1756</v>
      </c>
      <c r="CA223" s="14">
        <f t="shared" si="24"/>
        <v>851289.9</v>
      </c>
      <c r="CB223" s="2" t="str">
        <f t="shared" si="25"/>
        <v>OK</v>
      </c>
      <c r="CC223" s="13">
        <f t="shared" si="26"/>
        <v>0</v>
      </c>
    </row>
    <row r="224" spans="1:81" s="9" customFormat="1" ht="90.75" customHeight="1" x14ac:dyDescent="0.25">
      <c r="A224" s="2" t="s">
        <v>1224</v>
      </c>
      <c r="B224" s="2" t="s">
        <v>283</v>
      </c>
      <c r="C224" s="2" t="s">
        <v>274</v>
      </c>
      <c r="D224" s="12" t="s">
        <v>284</v>
      </c>
      <c r="E224" s="2"/>
      <c r="F224" s="2" t="s">
        <v>72</v>
      </c>
      <c r="G224" s="2" t="s">
        <v>1788</v>
      </c>
      <c r="H224" s="2" t="s">
        <v>66</v>
      </c>
      <c r="I224" s="2" t="s">
        <v>285</v>
      </c>
      <c r="J224" s="2">
        <v>678</v>
      </c>
      <c r="K224" s="2" t="s">
        <v>67</v>
      </c>
      <c r="L224" s="22">
        <v>391165.32</v>
      </c>
      <c r="M224" s="22">
        <v>391165.32</v>
      </c>
      <c r="N224" s="2" t="s">
        <v>42</v>
      </c>
      <c r="O224" s="7">
        <v>0</v>
      </c>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v>391165.32</v>
      </c>
      <c r="BW224" s="8">
        <v>45839</v>
      </c>
      <c r="BX224" s="2"/>
      <c r="BY224" s="2" t="s">
        <v>1801</v>
      </c>
      <c r="BZ224" s="2" t="s">
        <v>1756</v>
      </c>
      <c r="CA224" s="14">
        <f t="shared" si="24"/>
        <v>391165.32</v>
      </c>
      <c r="CB224" s="2" t="str">
        <f t="shared" si="25"/>
        <v>OK</v>
      </c>
      <c r="CC224" s="13">
        <f t="shared" si="26"/>
        <v>0</v>
      </c>
    </row>
    <row r="225" spans="1:81" s="9" customFormat="1" ht="107.25" customHeight="1" x14ac:dyDescent="0.25">
      <c r="A225" s="2" t="s">
        <v>1227</v>
      </c>
      <c r="B225" s="2" t="s">
        <v>278</v>
      </c>
      <c r="C225" s="2" t="s">
        <v>274</v>
      </c>
      <c r="D225" s="12" t="s">
        <v>279</v>
      </c>
      <c r="E225" s="2"/>
      <c r="F225" s="2" t="s">
        <v>72</v>
      </c>
      <c r="G225" s="2" t="s">
        <v>1788</v>
      </c>
      <c r="H225" s="2" t="s">
        <v>66</v>
      </c>
      <c r="I225" s="2" t="s">
        <v>2075</v>
      </c>
      <c r="J225" s="2" t="s">
        <v>1618</v>
      </c>
      <c r="K225" s="2" t="s">
        <v>67</v>
      </c>
      <c r="L225" s="22">
        <v>300631.48</v>
      </c>
      <c r="M225" s="22" t="s">
        <v>2074</v>
      </c>
      <c r="N225" s="2" t="s">
        <v>42</v>
      </c>
      <c r="O225" s="7">
        <v>0</v>
      </c>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v>300631.48</v>
      </c>
      <c r="BW225" s="8">
        <v>45839</v>
      </c>
      <c r="BX225" s="2"/>
      <c r="BY225" s="2" t="s">
        <v>1799</v>
      </c>
      <c r="BZ225" s="2" t="s">
        <v>1756</v>
      </c>
      <c r="CA225" s="14">
        <f t="shared" si="24"/>
        <v>300631.48</v>
      </c>
      <c r="CB225" s="2" t="str">
        <f t="shared" si="25"/>
        <v>CORRIGIR</v>
      </c>
      <c r="CC225" s="13" t="e">
        <f t="shared" si="26"/>
        <v>#VALUE!</v>
      </c>
    </row>
    <row r="226" spans="1:81" s="9" customFormat="1" ht="129.94999999999999" customHeight="1" x14ac:dyDescent="0.25">
      <c r="A226" s="2" t="s">
        <v>1334</v>
      </c>
      <c r="B226" s="2" t="s">
        <v>588</v>
      </c>
      <c r="C226" s="2" t="s">
        <v>552</v>
      </c>
      <c r="D226" s="12" t="s">
        <v>589</v>
      </c>
      <c r="E226" s="2"/>
      <c r="F226" s="2" t="s">
        <v>72</v>
      </c>
      <c r="G226" s="2" t="s">
        <v>1788</v>
      </c>
      <c r="H226" s="2" t="s">
        <v>66</v>
      </c>
      <c r="I226" s="2" t="s">
        <v>686</v>
      </c>
      <c r="J226" s="2" t="s">
        <v>1618</v>
      </c>
      <c r="K226" s="2" t="s">
        <v>67</v>
      </c>
      <c r="L226" s="22">
        <v>92661780.599999994</v>
      </c>
      <c r="M226" s="22">
        <v>3088726.02</v>
      </c>
      <c r="N226" s="2" t="s">
        <v>558</v>
      </c>
      <c r="O226" s="7"/>
      <c r="P226" s="7"/>
      <c r="Q226" s="7"/>
      <c r="R226" s="7"/>
      <c r="S226" s="7"/>
      <c r="T226" s="7"/>
      <c r="U226" s="7"/>
      <c r="V226" s="7"/>
      <c r="W226" s="7"/>
      <c r="X226" s="7"/>
      <c r="Y226" s="7"/>
      <c r="Z226" s="7"/>
      <c r="AA226" s="7">
        <v>92661.78</v>
      </c>
      <c r="AB226" s="7"/>
      <c r="AC226" s="7"/>
      <c r="AD226" s="7"/>
      <c r="AE226" s="7"/>
      <c r="AF226" s="7"/>
      <c r="AG226" s="7">
        <v>1297264.93</v>
      </c>
      <c r="AH226" s="7">
        <v>1698799.31</v>
      </c>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8">
        <v>45964</v>
      </c>
      <c r="BX226" s="2"/>
      <c r="BY226" s="2" t="s">
        <v>1801</v>
      </c>
      <c r="BZ226" s="8" t="s">
        <v>1757</v>
      </c>
      <c r="CA226" s="14">
        <f t="shared" si="24"/>
        <v>3088726.02</v>
      </c>
      <c r="CB226" s="2" t="str">
        <f t="shared" si="25"/>
        <v>OK</v>
      </c>
      <c r="CC226" s="13">
        <f t="shared" si="26"/>
        <v>0</v>
      </c>
    </row>
    <row r="227" spans="1:81" s="9" customFormat="1" ht="129.94999999999999" customHeight="1" x14ac:dyDescent="0.25">
      <c r="A227" s="64" t="s">
        <v>1152</v>
      </c>
      <c r="B227" s="64" t="s">
        <v>62</v>
      </c>
      <c r="C227" s="64" t="s">
        <v>63</v>
      </c>
      <c r="D227" s="65" t="s">
        <v>64</v>
      </c>
      <c r="E227" s="2"/>
      <c r="F227" s="64" t="s">
        <v>65</v>
      </c>
      <c r="G227" s="64" t="s">
        <v>2029</v>
      </c>
      <c r="H227" s="64" t="s">
        <v>66</v>
      </c>
      <c r="I227" s="64" t="s">
        <v>686</v>
      </c>
      <c r="J227" s="64">
        <v>230</v>
      </c>
      <c r="K227" s="64" t="s">
        <v>67</v>
      </c>
      <c r="L227" s="66">
        <f>680000-428864+50227.2</f>
        <v>301363.20000000001</v>
      </c>
      <c r="M227" s="66">
        <f>136000-59264+15347.2</f>
        <v>92083.199999999997</v>
      </c>
      <c r="N227" s="83" t="s">
        <v>68</v>
      </c>
      <c r="O227" s="17">
        <v>0</v>
      </c>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v>136000</v>
      </c>
      <c r="AS227" s="17"/>
      <c r="AT227" s="17"/>
      <c r="AU227" s="17"/>
      <c r="AV227" s="17"/>
      <c r="AW227" s="17"/>
      <c r="AX227" s="17"/>
      <c r="AY227" s="17"/>
      <c r="AZ227" s="17"/>
      <c r="BA227" s="17"/>
      <c r="BB227" s="17"/>
      <c r="BC227" s="17"/>
      <c r="BD227" s="17"/>
      <c r="BE227" s="17"/>
      <c r="BF227" s="17"/>
      <c r="BG227" s="17"/>
      <c r="BH227" s="17"/>
      <c r="BI227" s="17"/>
      <c r="BJ227" s="17"/>
      <c r="BK227" s="17"/>
      <c r="BL227" s="17"/>
      <c r="BM227" s="17"/>
      <c r="BN227" s="17"/>
      <c r="BO227" s="17"/>
      <c r="BP227" s="17"/>
      <c r="BQ227" s="17"/>
      <c r="BR227" s="17"/>
      <c r="BS227" s="17"/>
      <c r="BT227" s="17"/>
      <c r="BU227" s="17"/>
      <c r="BV227" s="17"/>
      <c r="BW227" s="67">
        <v>45659</v>
      </c>
      <c r="BX227" s="2"/>
      <c r="BY227" s="64" t="s">
        <v>1798</v>
      </c>
      <c r="BZ227" s="2"/>
      <c r="CA227" s="14">
        <f t="shared" si="24"/>
        <v>136000</v>
      </c>
      <c r="CB227" s="2" t="str">
        <f t="shared" si="25"/>
        <v>CORRIGIR</v>
      </c>
      <c r="CC227" s="13">
        <f t="shared" si="26"/>
        <v>-43916.800000000003</v>
      </c>
    </row>
    <row r="228" spans="1:81" s="9" customFormat="1" ht="59.25" customHeight="1" x14ac:dyDescent="0.25">
      <c r="A228" s="2" t="s">
        <v>1513</v>
      </c>
      <c r="B228" s="2" t="s">
        <v>733</v>
      </c>
      <c r="C228" s="2" t="s">
        <v>681</v>
      </c>
      <c r="D228" s="12" t="s">
        <v>1809</v>
      </c>
      <c r="E228" s="2"/>
      <c r="F228" s="2" t="s">
        <v>72</v>
      </c>
      <c r="G228" s="2" t="s">
        <v>2029</v>
      </c>
      <c r="H228" s="2" t="s">
        <v>66</v>
      </c>
      <c r="I228" s="2" t="s">
        <v>1618</v>
      </c>
      <c r="J228" s="2" t="s">
        <v>1618</v>
      </c>
      <c r="K228" s="2" t="s">
        <v>67</v>
      </c>
      <c r="L228" s="22">
        <v>13460</v>
      </c>
      <c r="M228" s="22">
        <v>13460</v>
      </c>
      <c r="N228" s="2" t="s">
        <v>14</v>
      </c>
      <c r="O228" s="7">
        <v>0</v>
      </c>
      <c r="P228" s="7"/>
      <c r="Q228" s="7"/>
      <c r="R228" s="7"/>
      <c r="S228" s="7"/>
      <c r="T228" s="7"/>
      <c r="U228" s="7"/>
      <c r="V228" s="7"/>
      <c r="W228" s="7"/>
      <c r="X228" s="7"/>
      <c r="Y228" s="7"/>
      <c r="Z228" s="7"/>
      <c r="AA228" s="7">
        <v>13460</v>
      </c>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8">
        <v>45749</v>
      </c>
      <c r="BX228" s="2"/>
      <c r="BY228" s="2" t="s">
        <v>1798</v>
      </c>
      <c r="BZ228" s="2"/>
      <c r="CA228" s="14">
        <f t="shared" si="24"/>
        <v>13460</v>
      </c>
      <c r="CB228" s="2" t="str">
        <f t="shared" si="25"/>
        <v>OK</v>
      </c>
      <c r="CC228" s="13">
        <f t="shared" si="26"/>
        <v>0</v>
      </c>
    </row>
    <row r="229" spans="1:81" s="9" customFormat="1" ht="54.75" customHeight="1" x14ac:dyDescent="0.25">
      <c r="A229" s="2" t="s">
        <v>1611</v>
      </c>
      <c r="B229" s="2" t="s">
        <v>1620</v>
      </c>
      <c r="C229" s="2" t="s">
        <v>1048</v>
      </c>
      <c r="D229" s="12" t="s">
        <v>1622</v>
      </c>
      <c r="E229" s="2"/>
      <c r="F229" s="2" t="s">
        <v>65</v>
      </c>
      <c r="G229" s="2" t="s">
        <v>2029</v>
      </c>
      <c r="H229" s="2" t="s">
        <v>66</v>
      </c>
      <c r="I229" s="2" t="s">
        <v>5</v>
      </c>
      <c r="J229" s="2" t="s">
        <v>1614</v>
      </c>
      <c r="K229" s="2" t="s">
        <v>67</v>
      </c>
      <c r="L229" s="7">
        <v>1126.3</v>
      </c>
      <c r="M229" s="7">
        <v>1126.3</v>
      </c>
      <c r="N229" s="2" t="s">
        <v>14</v>
      </c>
      <c r="O229" s="7"/>
      <c r="P229" s="7"/>
      <c r="Q229" s="7"/>
      <c r="R229" s="7"/>
      <c r="S229" s="7"/>
      <c r="T229" s="7"/>
      <c r="U229" s="7"/>
      <c r="V229" s="7"/>
      <c r="W229" s="7"/>
      <c r="X229" s="7"/>
      <c r="Y229" s="7"/>
      <c r="Z229" s="7"/>
      <c r="AA229" s="27">
        <v>1126.3</v>
      </c>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8">
        <v>45750</v>
      </c>
      <c r="BX229" s="2"/>
      <c r="BY229" s="2" t="s">
        <v>1798</v>
      </c>
      <c r="BZ229" s="2" t="s">
        <v>1756</v>
      </c>
      <c r="CA229" s="14">
        <f t="shared" si="24"/>
        <v>1126.3</v>
      </c>
      <c r="CB229" s="2" t="str">
        <f t="shared" si="25"/>
        <v>OK</v>
      </c>
      <c r="CC229" s="13">
        <f t="shared" si="26"/>
        <v>0</v>
      </c>
    </row>
    <row r="230" spans="1:81" s="9" customFormat="1" ht="88.5" customHeight="1" x14ac:dyDescent="0.25">
      <c r="A230" s="2" t="s">
        <v>1568</v>
      </c>
      <c r="B230" s="2" t="s">
        <v>1060</v>
      </c>
      <c r="C230" s="2" t="s">
        <v>1051</v>
      </c>
      <c r="D230" s="12" t="s">
        <v>1061</v>
      </c>
      <c r="E230" s="2"/>
      <c r="F230" s="2" t="s">
        <v>72</v>
      </c>
      <c r="G230" s="2" t="s">
        <v>2029</v>
      </c>
      <c r="H230" s="2" t="s">
        <v>66</v>
      </c>
      <c r="I230" s="2" t="s">
        <v>686</v>
      </c>
      <c r="J230" s="2" t="s">
        <v>1618</v>
      </c>
      <c r="K230" s="2" t="s">
        <v>67</v>
      </c>
      <c r="L230" s="22">
        <v>40000</v>
      </c>
      <c r="M230" s="22">
        <v>40000</v>
      </c>
      <c r="N230" s="2" t="s">
        <v>33</v>
      </c>
      <c r="O230" s="7">
        <v>0</v>
      </c>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v>15000</v>
      </c>
      <c r="BN230" s="7"/>
      <c r="BO230" s="7"/>
      <c r="BP230" s="7"/>
      <c r="BQ230" s="7"/>
      <c r="BR230" s="7"/>
      <c r="BS230" s="7"/>
      <c r="BT230" s="7"/>
      <c r="BU230" s="7"/>
      <c r="BV230" s="7"/>
      <c r="BW230" s="8">
        <v>45762</v>
      </c>
      <c r="BX230" s="2"/>
      <c r="BY230" s="2" t="s">
        <v>1798</v>
      </c>
      <c r="BZ230" s="8" t="s">
        <v>1757</v>
      </c>
      <c r="CA230" s="14">
        <f t="shared" si="24"/>
        <v>15000</v>
      </c>
      <c r="CB230" s="2" t="str">
        <f t="shared" si="25"/>
        <v>CORRIGIR</v>
      </c>
      <c r="CC230" s="13">
        <f t="shared" si="26"/>
        <v>25000</v>
      </c>
    </row>
    <row r="231" spans="1:81" s="9" customFormat="1" ht="147" customHeight="1" x14ac:dyDescent="0.25">
      <c r="A231" s="2" t="s">
        <v>1255</v>
      </c>
      <c r="B231" s="2" t="s">
        <v>399</v>
      </c>
      <c r="C231" s="2" t="s">
        <v>379</v>
      </c>
      <c r="D231" s="12" t="s">
        <v>1754</v>
      </c>
      <c r="E231" s="2"/>
      <c r="F231" s="2" t="s">
        <v>1691</v>
      </c>
      <c r="G231" s="2" t="s">
        <v>2029</v>
      </c>
      <c r="H231" s="2" t="s">
        <v>66</v>
      </c>
      <c r="I231" s="2" t="s">
        <v>1014</v>
      </c>
      <c r="J231" s="2" t="s">
        <v>1618</v>
      </c>
      <c r="K231" s="2" t="s">
        <v>67</v>
      </c>
      <c r="L231" s="22">
        <v>7036260</v>
      </c>
      <c r="M231" s="22">
        <v>3000000</v>
      </c>
      <c r="N231" s="2" t="s">
        <v>387</v>
      </c>
      <c r="O231" s="7"/>
      <c r="P231" s="7"/>
      <c r="Q231" s="7"/>
      <c r="R231" s="7">
        <v>3000000</v>
      </c>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8">
        <v>45777</v>
      </c>
      <c r="BX231" s="2"/>
      <c r="BY231" s="2" t="s">
        <v>1801</v>
      </c>
      <c r="BZ231" s="8"/>
      <c r="CA231" s="14"/>
      <c r="CB231" s="2"/>
      <c r="CC231" s="13"/>
    </row>
    <row r="232" spans="1:81" s="9" customFormat="1" ht="52.5" customHeight="1" x14ac:dyDescent="0.25">
      <c r="A232" s="2" t="s">
        <v>1475</v>
      </c>
      <c r="B232" s="2" t="s">
        <v>897</v>
      </c>
      <c r="C232" s="2" t="s">
        <v>681</v>
      </c>
      <c r="D232" s="12" t="s">
        <v>898</v>
      </c>
      <c r="E232" s="2"/>
      <c r="F232" s="2" t="s">
        <v>72</v>
      </c>
      <c r="G232" s="2" t="s">
        <v>2029</v>
      </c>
      <c r="H232" s="2" t="s">
        <v>66</v>
      </c>
      <c r="I232" s="2" t="s">
        <v>686</v>
      </c>
      <c r="J232" s="2" t="s">
        <v>1618</v>
      </c>
      <c r="K232" s="2" t="s">
        <v>67</v>
      </c>
      <c r="L232" s="22">
        <v>62402.6</v>
      </c>
      <c r="M232" s="22">
        <v>62402.6</v>
      </c>
      <c r="N232" s="2" t="s">
        <v>14</v>
      </c>
      <c r="O232" s="7"/>
      <c r="P232" s="7"/>
      <c r="Q232" s="7"/>
      <c r="R232" s="7"/>
      <c r="S232" s="7"/>
      <c r="T232" s="7"/>
      <c r="U232" s="7"/>
      <c r="V232" s="7"/>
      <c r="W232" s="7"/>
      <c r="X232" s="7">
        <v>0</v>
      </c>
      <c r="Y232" s="7"/>
      <c r="Z232" s="7"/>
      <c r="AA232" s="7">
        <v>62402.6</v>
      </c>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8">
        <v>45807</v>
      </c>
      <c r="BX232" s="2"/>
      <c r="BY232" s="2" t="s">
        <v>1800</v>
      </c>
      <c r="BZ232" s="8" t="s">
        <v>1757</v>
      </c>
      <c r="CA232" s="14">
        <f t="shared" ref="CA232:CA255" si="27">SUM(O232:BV232)</f>
        <v>62402.6</v>
      </c>
      <c r="CB232" s="2" t="str">
        <f t="shared" ref="CB232:CB255" si="28">IF(M232=CA232,"OK","CORRIGIR")</f>
        <v>OK</v>
      </c>
      <c r="CC232" s="13">
        <f t="shared" ref="CC232:CC255" si="29">M232-CA232</f>
        <v>0</v>
      </c>
    </row>
    <row r="233" spans="1:81" s="9" customFormat="1" ht="51.75" customHeight="1" x14ac:dyDescent="0.25">
      <c r="A233" s="2" t="s">
        <v>1375</v>
      </c>
      <c r="B233" s="2" t="s">
        <v>660</v>
      </c>
      <c r="C233" s="2" t="s">
        <v>552</v>
      </c>
      <c r="D233" s="12" t="s">
        <v>661</v>
      </c>
      <c r="E233" s="2"/>
      <c r="F233" s="2" t="s">
        <v>65</v>
      </c>
      <c r="G233" s="2" t="s">
        <v>2029</v>
      </c>
      <c r="H233" s="2" t="s">
        <v>66</v>
      </c>
      <c r="I233" s="2" t="s">
        <v>686</v>
      </c>
      <c r="J233" s="2">
        <v>1</v>
      </c>
      <c r="K233" s="2" t="s">
        <v>67</v>
      </c>
      <c r="L233" s="22">
        <v>57850</v>
      </c>
      <c r="M233" s="22">
        <v>4450</v>
      </c>
      <c r="N233" s="2" t="s">
        <v>14</v>
      </c>
      <c r="O233" s="7"/>
      <c r="P233" s="7"/>
      <c r="Q233" s="7"/>
      <c r="R233" s="7"/>
      <c r="S233" s="7"/>
      <c r="T233" s="7"/>
      <c r="U233" s="7"/>
      <c r="V233" s="7"/>
      <c r="W233" s="7"/>
      <c r="X233" s="7"/>
      <c r="Y233" s="7"/>
      <c r="Z233" s="7"/>
      <c r="AA233" s="7">
        <v>4450</v>
      </c>
      <c r="AB233" s="7"/>
      <c r="AC233" s="7"/>
      <c r="AD233" s="7"/>
      <c r="AE233" s="7"/>
      <c r="AF233" s="7"/>
      <c r="AG233" s="7">
        <v>0</v>
      </c>
      <c r="AH233" s="7">
        <v>0</v>
      </c>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8">
        <v>45807</v>
      </c>
      <c r="BX233" s="2"/>
      <c r="BY233" s="2" t="s">
        <v>1800</v>
      </c>
      <c r="BZ233" s="8" t="s">
        <v>1757</v>
      </c>
      <c r="CA233" s="14">
        <f t="shared" si="27"/>
        <v>4450</v>
      </c>
      <c r="CB233" s="2" t="str">
        <f t="shared" si="28"/>
        <v>OK</v>
      </c>
      <c r="CC233" s="13">
        <f t="shared" si="29"/>
        <v>0</v>
      </c>
    </row>
    <row r="234" spans="1:81" s="9" customFormat="1" ht="112.5" customHeight="1" x14ac:dyDescent="0.25">
      <c r="A234" s="2" t="s">
        <v>1390</v>
      </c>
      <c r="B234" s="2" t="s">
        <v>881</v>
      </c>
      <c r="C234" s="2" t="s">
        <v>681</v>
      </c>
      <c r="D234" s="12" t="s">
        <v>1832</v>
      </c>
      <c r="E234" s="2"/>
      <c r="F234" s="2" t="s">
        <v>882</v>
      </c>
      <c r="G234" s="2" t="s">
        <v>2029</v>
      </c>
      <c r="H234" s="2" t="s">
        <v>66</v>
      </c>
      <c r="I234" s="2" t="s">
        <v>1618</v>
      </c>
      <c r="J234" s="2" t="s">
        <v>1618</v>
      </c>
      <c r="K234" s="2" t="s">
        <v>67</v>
      </c>
      <c r="L234" s="22">
        <v>8877915</v>
      </c>
      <c r="M234" s="22">
        <v>8877915</v>
      </c>
      <c r="N234" s="2" t="s">
        <v>14</v>
      </c>
      <c r="O234" s="7">
        <v>0</v>
      </c>
      <c r="P234" s="7"/>
      <c r="Q234" s="7"/>
      <c r="R234" s="7"/>
      <c r="S234" s="7"/>
      <c r="T234" s="7"/>
      <c r="U234" s="7"/>
      <c r="V234" s="7"/>
      <c r="W234" s="7"/>
      <c r="X234" s="7"/>
      <c r="Y234" s="7"/>
      <c r="Z234" s="7"/>
      <c r="AA234" s="7">
        <f>M234</f>
        <v>8877915</v>
      </c>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8">
        <v>45810</v>
      </c>
      <c r="BX234" s="2"/>
      <c r="BY234" s="2" t="s">
        <v>1806</v>
      </c>
      <c r="BZ234" s="2"/>
      <c r="CA234" s="14">
        <f t="shared" si="27"/>
        <v>8877915</v>
      </c>
      <c r="CB234" s="2" t="str">
        <f t="shared" si="28"/>
        <v>OK</v>
      </c>
      <c r="CC234" s="13">
        <f t="shared" si="29"/>
        <v>0</v>
      </c>
    </row>
    <row r="235" spans="1:81" s="9" customFormat="1" ht="81" customHeight="1" x14ac:dyDescent="0.25">
      <c r="A235" s="2" t="s">
        <v>1419</v>
      </c>
      <c r="B235" s="2" t="s">
        <v>742</v>
      </c>
      <c r="C235" s="2" t="s">
        <v>681</v>
      </c>
      <c r="D235" s="12" t="s">
        <v>743</v>
      </c>
      <c r="E235" s="2"/>
      <c r="F235" s="2" t="s">
        <v>72</v>
      </c>
      <c r="G235" s="2" t="s">
        <v>2029</v>
      </c>
      <c r="H235" s="2" t="s">
        <v>66</v>
      </c>
      <c r="I235" s="2" t="s">
        <v>686</v>
      </c>
      <c r="J235" s="2" t="s">
        <v>1618</v>
      </c>
      <c r="K235" s="2" t="s">
        <v>67</v>
      </c>
      <c r="L235" s="22">
        <v>7321203.5999999996</v>
      </c>
      <c r="M235" s="22">
        <v>732120.36</v>
      </c>
      <c r="N235" s="2" t="s">
        <v>14</v>
      </c>
      <c r="O235" s="7">
        <v>0</v>
      </c>
      <c r="P235" s="7"/>
      <c r="Q235" s="7"/>
      <c r="R235" s="7"/>
      <c r="S235" s="7"/>
      <c r="T235" s="7"/>
      <c r="U235" s="7"/>
      <c r="V235" s="7"/>
      <c r="W235" s="7"/>
      <c r="X235" s="7"/>
      <c r="Y235" s="7"/>
      <c r="Z235" s="7"/>
      <c r="AA235" s="7">
        <v>732120.36</v>
      </c>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8">
        <v>45831</v>
      </c>
      <c r="BX235" s="2"/>
      <c r="BY235" s="2" t="s">
        <v>1801</v>
      </c>
      <c r="BZ235" s="8" t="s">
        <v>1757</v>
      </c>
      <c r="CA235" s="14">
        <f t="shared" si="27"/>
        <v>732120.36</v>
      </c>
      <c r="CB235" s="2" t="str">
        <f t="shared" si="28"/>
        <v>OK</v>
      </c>
      <c r="CC235" s="13">
        <f t="shared" si="29"/>
        <v>0</v>
      </c>
    </row>
    <row r="236" spans="1:81" s="9" customFormat="1" ht="88.5" customHeight="1" x14ac:dyDescent="0.25">
      <c r="A236" s="2" t="s">
        <v>1493</v>
      </c>
      <c r="B236" s="2" t="s">
        <v>993</v>
      </c>
      <c r="C236" s="2" t="s">
        <v>681</v>
      </c>
      <c r="D236" s="12" t="s">
        <v>1991</v>
      </c>
      <c r="E236" s="2"/>
      <c r="F236" s="2" t="s">
        <v>65</v>
      </c>
      <c r="G236" s="2" t="s">
        <v>2029</v>
      </c>
      <c r="H236" s="2" t="s">
        <v>66</v>
      </c>
      <c r="I236" s="2" t="s">
        <v>693</v>
      </c>
      <c r="J236" s="2">
        <v>1</v>
      </c>
      <c r="K236" s="2" t="s">
        <v>67</v>
      </c>
      <c r="L236" s="22">
        <v>27000</v>
      </c>
      <c r="M236" s="22">
        <v>27000</v>
      </c>
      <c r="N236" s="2" t="s">
        <v>14</v>
      </c>
      <c r="O236" s="7">
        <v>0</v>
      </c>
      <c r="P236" s="7"/>
      <c r="Q236" s="7"/>
      <c r="R236" s="7"/>
      <c r="S236" s="7"/>
      <c r="T236" s="7"/>
      <c r="U236" s="7"/>
      <c r="V236" s="7"/>
      <c r="W236" s="7"/>
      <c r="X236" s="7"/>
      <c r="Y236" s="7"/>
      <c r="Z236" s="7"/>
      <c r="AA236" s="7">
        <v>27000</v>
      </c>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8">
        <v>45845</v>
      </c>
      <c r="BX236" s="2"/>
      <c r="BY236" s="2" t="s">
        <v>1800</v>
      </c>
      <c r="BZ236" s="8" t="s">
        <v>1744</v>
      </c>
      <c r="CA236" s="14">
        <f t="shared" si="27"/>
        <v>27000</v>
      </c>
      <c r="CB236" s="2" t="str">
        <f t="shared" si="28"/>
        <v>OK</v>
      </c>
      <c r="CC236" s="13">
        <f t="shared" si="29"/>
        <v>0</v>
      </c>
    </row>
    <row r="237" spans="1:81" s="9" customFormat="1" ht="81.75" customHeight="1" x14ac:dyDescent="0.25">
      <c r="A237" s="2" t="s">
        <v>1219</v>
      </c>
      <c r="B237" s="2" t="s">
        <v>1116</v>
      </c>
      <c r="C237" s="2" t="s">
        <v>274</v>
      </c>
      <c r="D237" s="12" t="s">
        <v>1117</v>
      </c>
      <c r="E237" s="2"/>
      <c r="F237" s="2" t="s">
        <v>72</v>
      </c>
      <c r="G237" s="2" t="s">
        <v>2029</v>
      </c>
      <c r="H237" s="2" t="s">
        <v>66</v>
      </c>
      <c r="I237" s="2" t="s">
        <v>686</v>
      </c>
      <c r="J237" s="2" t="s">
        <v>1618</v>
      </c>
      <c r="K237" s="2" t="s">
        <v>67</v>
      </c>
      <c r="L237" s="43">
        <v>1500000</v>
      </c>
      <c r="M237" s="22">
        <v>1500000</v>
      </c>
      <c r="N237" s="2" t="s">
        <v>40</v>
      </c>
      <c r="O237" s="7">
        <v>0</v>
      </c>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v>1500000</v>
      </c>
      <c r="BU237" s="7"/>
      <c r="BV237" s="7"/>
      <c r="BW237" s="8">
        <v>45853</v>
      </c>
      <c r="BX237" s="2"/>
      <c r="BY237" s="2" t="s">
        <v>1799</v>
      </c>
      <c r="BZ237" s="2"/>
      <c r="CA237" s="14">
        <f t="shared" si="27"/>
        <v>1500000</v>
      </c>
      <c r="CB237" s="2" t="str">
        <f t="shared" si="28"/>
        <v>OK</v>
      </c>
      <c r="CC237" s="13">
        <f t="shared" si="29"/>
        <v>0</v>
      </c>
    </row>
    <row r="238" spans="1:81" s="9" customFormat="1" ht="107.25" customHeight="1" x14ac:dyDescent="0.25">
      <c r="A238" s="64" t="s">
        <v>1209</v>
      </c>
      <c r="B238" s="2" t="s">
        <v>276</v>
      </c>
      <c r="C238" s="64" t="s">
        <v>274</v>
      </c>
      <c r="D238" s="65" t="s">
        <v>1940</v>
      </c>
      <c r="E238" s="2"/>
      <c r="F238" s="64" t="s">
        <v>72</v>
      </c>
      <c r="G238" s="64" t="s">
        <v>2029</v>
      </c>
      <c r="H238" s="64" t="s">
        <v>66</v>
      </c>
      <c r="I238" s="64" t="s">
        <v>5</v>
      </c>
      <c r="J238" s="64" t="s">
        <v>1618</v>
      </c>
      <c r="K238" s="64" t="s">
        <v>67</v>
      </c>
      <c r="L238" s="66">
        <f>27845362.08+57697352.87</f>
        <v>85542714.949999988</v>
      </c>
      <c r="M238" s="66">
        <f>15845362.08+19598828.97</f>
        <v>35444191.049999997</v>
      </c>
      <c r="N238" s="64" t="s">
        <v>40</v>
      </c>
      <c r="O238" s="7">
        <v>0</v>
      </c>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v>15845362.08</v>
      </c>
      <c r="BU238" s="7"/>
      <c r="BV238" s="7"/>
      <c r="BW238" s="67">
        <v>45870</v>
      </c>
      <c r="BX238" s="2"/>
      <c r="BY238" s="64" t="s">
        <v>1799</v>
      </c>
      <c r="BZ238" s="8" t="s">
        <v>1747</v>
      </c>
      <c r="CA238" s="14">
        <f t="shared" si="27"/>
        <v>15845362.08</v>
      </c>
      <c r="CB238" s="2" t="str">
        <f t="shared" si="28"/>
        <v>CORRIGIR</v>
      </c>
      <c r="CC238" s="13">
        <f t="shared" si="29"/>
        <v>19598828.969999999</v>
      </c>
    </row>
    <row r="239" spans="1:81" s="9" customFormat="1" ht="58.5" customHeight="1" x14ac:dyDescent="0.25">
      <c r="A239" s="2" t="s">
        <v>1457</v>
      </c>
      <c r="B239" s="2" t="s">
        <v>1102</v>
      </c>
      <c r="C239" s="2" t="s">
        <v>681</v>
      </c>
      <c r="D239" s="12" t="s">
        <v>1103</v>
      </c>
      <c r="E239" s="2"/>
      <c r="F239" s="2" t="s">
        <v>72</v>
      </c>
      <c r="G239" s="2" t="s">
        <v>2029</v>
      </c>
      <c r="H239" s="2" t="s">
        <v>66</v>
      </c>
      <c r="I239" s="2" t="s">
        <v>686</v>
      </c>
      <c r="J239" s="2">
        <v>15</v>
      </c>
      <c r="K239" s="2" t="s">
        <v>67</v>
      </c>
      <c r="L239" s="22">
        <v>115895.7</v>
      </c>
      <c r="M239" s="22">
        <v>115895.7</v>
      </c>
      <c r="N239" s="2" t="s">
        <v>14</v>
      </c>
      <c r="O239" s="7"/>
      <c r="P239" s="7"/>
      <c r="Q239" s="7"/>
      <c r="R239" s="7"/>
      <c r="S239" s="7"/>
      <c r="T239" s="7"/>
      <c r="U239" s="7"/>
      <c r="V239" s="7"/>
      <c r="W239" s="7"/>
      <c r="X239" s="7">
        <v>0</v>
      </c>
      <c r="Y239" s="7"/>
      <c r="Z239" s="7"/>
      <c r="AA239" s="7">
        <v>115895.7</v>
      </c>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8">
        <v>45873</v>
      </c>
      <c r="BX239" s="15"/>
      <c r="BY239" s="15" t="s">
        <v>1801</v>
      </c>
      <c r="BZ239" s="2" t="s">
        <v>1703</v>
      </c>
      <c r="CA239" s="14">
        <f t="shared" si="27"/>
        <v>115895.7</v>
      </c>
      <c r="CB239" s="2" t="str">
        <f t="shared" si="28"/>
        <v>OK</v>
      </c>
      <c r="CC239" s="13">
        <f t="shared" si="29"/>
        <v>0</v>
      </c>
    </row>
    <row r="240" spans="1:81" s="9" customFormat="1" ht="69" customHeight="1" x14ac:dyDescent="0.25">
      <c r="A240" s="2" t="s">
        <v>1396</v>
      </c>
      <c r="B240" s="2" t="s">
        <v>1012</v>
      </c>
      <c r="C240" s="2" t="s">
        <v>681</v>
      </c>
      <c r="D240" s="12" t="s">
        <v>1013</v>
      </c>
      <c r="E240" s="2"/>
      <c r="F240" s="2" t="s">
        <v>65</v>
      </c>
      <c r="G240" s="2" t="s">
        <v>2029</v>
      </c>
      <c r="H240" s="2" t="s">
        <v>66</v>
      </c>
      <c r="I240" s="2" t="s">
        <v>1014</v>
      </c>
      <c r="J240" s="2" t="s">
        <v>1618</v>
      </c>
      <c r="K240" s="2" t="s">
        <v>67</v>
      </c>
      <c r="L240" s="22">
        <v>3360000</v>
      </c>
      <c r="M240" s="22">
        <v>1120000</v>
      </c>
      <c r="N240" s="2" t="s">
        <v>14</v>
      </c>
      <c r="O240" s="7">
        <v>0</v>
      </c>
      <c r="P240" s="7"/>
      <c r="Q240" s="7"/>
      <c r="R240" s="7"/>
      <c r="S240" s="7"/>
      <c r="T240" s="7"/>
      <c r="U240" s="7"/>
      <c r="V240" s="7"/>
      <c r="W240" s="7"/>
      <c r="X240" s="7"/>
      <c r="Y240" s="7"/>
      <c r="Z240" s="7"/>
      <c r="AA240" s="7">
        <v>1120000</v>
      </c>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8">
        <v>45922</v>
      </c>
      <c r="BX240" s="2"/>
      <c r="BY240" s="2" t="s">
        <v>1798</v>
      </c>
      <c r="BZ240" s="2"/>
      <c r="CA240" s="14">
        <f t="shared" si="27"/>
        <v>1120000</v>
      </c>
      <c r="CB240" s="2" t="str">
        <f t="shared" si="28"/>
        <v>OK</v>
      </c>
      <c r="CC240" s="13">
        <f t="shared" si="29"/>
        <v>0</v>
      </c>
    </row>
    <row r="241" spans="1:82" s="9" customFormat="1" ht="136.5" customHeight="1" x14ac:dyDescent="0.25">
      <c r="A241" s="2" t="s">
        <v>1331</v>
      </c>
      <c r="B241" s="2" t="s">
        <v>551</v>
      </c>
      <c r="C241" s="2" t="s">
        <v>552</v>
      </c>
      <c r="D241" s="12" t="s">
        <v>553</v>
      </c>
      <c r="E241" s="2"/>
      <c r="F241" s="2" t="s">
        <v>72</v>
      </c>
      <c r="G241" s="2" t="s">
        <v>2029</v>
      </c>
      <c r="H241" s="2" t="s">
        <v>66</v>
      </c>
      <c r="I241" s="2" t="s">
        <v>686</v>
      </c>
      <c r="J241" s="2" t="s">
        <v>1618</v>
      </c>
      <c r="K241" s="2" t="s">
        <v>67</v>
      </c>
      <c r="L241" s="22">
        <v>262546277.30000001</v>
      </c>
      <c r="M241" s="22">
        <v>27509255.460000001</v>
      </c>
      <c r="N241" s="2" t="s">
        <v>554</v>
      </c>
      <c r="O241" s="7"/>
      <c r="P241" s="7"/>
      <c r="Q241" s="7"/>
      <c r="R241" s="7"/>
      <c r="S241" s="7"/>
      <c r="T241" s="7"/>
      <c r="U241" s="7"/>
      <c r="V241" s="7"/>
      <c r="W241" s="7"/>
      <c r="X241" s="7"/>
      <c r="Y241" s="7"/>
      <c r="Z241" s="7"/>
      <c r="AA241" s="7">
        <v>825277.66</v>
      </c>
      <c r="AB241" s="7"/>
      <c r="AC241" s="7"/>
      <c r="AD241" s="7"/>
      <c r="AE241" s="7"/>
      <c r="AF241" s="7"/>
      <c r="AG241" s="7">
        <v>11553887.289999999</v>
      </c>
      <c r="AH241" s="30">
        <v>15130090.500800001</v>
      </c>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8">
        <v>45931</v>
      </c>
      <c r="BX241" s="2"/>
      <c r="BY241" s="2" t="s">
        <v>1801</v>
      </c>
      <c r="BZ241" s="2" t="s">
        <v>1703</v>
      </c>
      <c r="CA241" s="14">
        <f t="shared" si="27"/>
        <v>27509255.450800002</v>
      </c>
      <c r="CB241" s="2" t="str">
        <f t="shared" si="28"/>
        <v>CORRIGIR</v>
      </c>
      <c r="CC241" s="13">
        <f t="shared" si="29"/>
        <v>9.1999992728233337E-3</v>
      </c>
    </row>
    <row r="242" spans="1:82" s="9" customFormat="1" ht="74.25" customHeight="1" x14ac:dyDescent="0.25">
      <c r="A242" s="2" t="s">
        <v>1220</v>
      </c>
      <c r="B242" s="2" t="s">
        <v>339</v>
      </c>
      <c r="C242" s="2" t="s">
        <v>274</v>
      </c>
      <c r="D242" s="12" t="s">
        <v>340</v>
      </c>
      <c r="E242" s="2"/>
      <c r="F242" s="2" t="s">
        <v>65</v>
      </c>
      <c r="G242" s="2" t="s">
        <v>2029</v>
      </c>
      <c r="H242" s="2" t="s">
        <v>66</v>
      </c>
      <c r="I242" s="2" t="s">
        <v>686</v>
      </c>
      <c r="J242" s="2" t="s">
        <v>1618</v>
      </c>
      <c r="K242" s="2" t="s">
        <v>67</v>
      </c>
      <c r="L242" s="22">
        <v>1258344</v>
      </c>
      <c r="M242" s="22">
        <v>1258344</v>
      </c>
      <c r="N242" s="2" t="s">
        <v>42</v>
      </c>
      <c r="O242" s="7">
        <v>0</v>
      </c>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v>1258344</v>
      </c>
      <c r="BW242" s="8">
        <v>45988</v>
      </c>
      <c r="BX242" s="2"/>
      <c r="BY242" s="2" t="s">
        <v>1798</v>
      </c>
      <c r="BZ242" s="2"/>
      <c r="CA242" s="14">
        <f t="shared" si="27"/>
        <v>1258344</v>
      </c>
      <c r="CB242" s="2" t="str">
        <f t="shared" si="28"/>
        <v>OK</v>
      </c>
      <c r="CC242" s="13">
        <f t="shared" si="29"/>
        <v>0</v>
      </c>
    </row>
    <row r="243" spans="1:82" s="9" customFormat="1" ht="65.25" customHeight="1" x14ac:dyDescent="0.25">
      <c r="A243" s="2" t="s">
        <v>1400</v>
      </c>
      <c r="B243" s="2" t="s">
        <v>752</v>
      </c>
      <c r="C243" s="2" t="s">
        <v>715</v>
      </c>
      <c r="D243" s="12" t="s">
        <v>753</v>
      </c>
      <c r="E243" s="2"/>
      <c r="F243" s="2" t="s">
        <v>65</v>
      </c>
      <c r="G243" s="2" t="s">
        <v>2029</v>
      </c>
      <c r="H243" s="2" t="s">
        <v>66</v>
      </c>
      <c r="I243" s="2" t="s">
        <v>754</v>
      </c>
      <c r="J243" s="2" t="s">
        <v>1618</v>
      </c>
      <c r="K243" s="2" t="s">
        <v>67</v>
      </c>
      <c r="L243" s="22">
        <v>5485000</v>
      </c>
      <c r="M243" s="22">
        <v>1042500</v>
      </c>
      <c r="N243" s="2" t="s">
        <v>10</v>
      </c>
      <c r="O243" s="7">
        <v>1042500</v>
      </c>
      <c r="P243" s="7"/>
      <c r="Q243" s="7"/>
      <c r="R243" s="7"/>
      <c r="S243" s="7"/>
      <c r="T243" s="7"/>
      <c r="U243" s="7">
        <v>0</v>
      </c>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8">
        <v>45992</v>
      </c>
      <c r="BX243" s="2"/>
      <c r="BY243" s="2" t="s">
        <v>1798</v>
      </c>
      <c r="BZ243" s="2" t="s">
        <v>1703</v>
      </c>
      <c r="CA243" s="14">
        <f t="shared" si="27"/>
        <v>1042500</v>
      </c>
      <c r="CB243" s="2" t="str">
        <f t="shared" si="28"/>
        <v>OK</v>
      </c>
      <c r="CC243" s="13">
        <f t="shared" si="29"/>
        <v>0</v>
      </c>
    </row>
    <row r="244" spans="1:82" s="9" customFormat="1" ht="52.5" customHeight="1" x14ac:dyDescent="0.25">
      <c r="A244" s="2" t="s">
        <v>1531</v>
      </c>
      <c r="B244" s="2" t="s">
        <v>734</v>
      </c>
      <c r="C244" s="2" t="s">
        <v>681</v>
      </c>
      <c r="D244" s="12" t="s">
        <v>735</v>
      </c>
      <c r="E244" s="2"/>
      <c r="F244" s="2" t="s">
        <v>65</v>
      </c>
      <c r="G244" s="2" t="s">
        <v>2029</v>
      </c>
      <c r="H244" s="2" t="s">
        <v>66</v>
      </c>
      <c r="I244" s="2" t="s">
        <v>686</v>
      </c>
      <c r="J244" s="2" t="s">
        <v>1618</v>
      </c>
      <c r="K244" s="2" t="s">
        <v>67</v>
      </c>
      <c r="L244" s="22">
        <v>3800</v>
      </c>
      <c r="M244" s="22">
        <v>3800</v>
      </c>
      <c r="N244" s="2" t="s">
        <v>14</v>
      </c>
      <c r="O244" s="7">
        <v>0</v>
      </c>
      <c r="P244" s="7"/>
      <c r="Q244" s="7"/>
      <c r="R244" s="7"/>
      <c r="S244" s="7"/>
      <c r="T244" s="7"/>
      <c r="U244" s="7"/>
      <c r="V244" s="7"/>
      <c r="W244" s="7"/>
      <c r="X244" s="7"/>
      <c r="Y244" s="7"/>
      <c r="Z244" s="7"/>
      <c r="AA244" s="7">
        <v>3800</v>
      </c>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8">
        <v>46006</v>
      </c>
      <c r="BX244" s="2"/>
      <c r="BY244" s="2" t="s">
        <v>1800</v>
      </c>
      <c r="BZ244" s="2" t="s">
        <v>1703</v>
      </c>
      <c r="CA244" s="14">
        <f t="shared" si="27"/>
        <v>3800</v>
      </c>
      <c r="CB244" s="2" t="str">
        <f t="shared" si="28"/>
        <v>OK</v>
      </c>
      <c r="CC244" s="13">
        <f t="shared" si="29"/>
        <v>0</v>
      </c>
    </row>
    <row r="245" spans="1:82" s="9" customFormat="1" ht="150" customHeight="1" x14ac:dyDescent="0.25">
      <c r="A245" s="64" t="s">
        <v>1975</v>
      </c>
      <c r="B245" s="64" t="s">
        <v>1976</v>
      </c>
      <c r="C245" s="64" t="s">
        <v>274</v>
      </c>
      <c r="D245" s="65" t="s">
        <v>1977</v>
      </c>
      <c r="E245" s="6"/>
      <c r="F245" s="64" t="s">
        <v>65</v>
      </c>
      <c r="G245" s="64" t="s">
        <v>2030</v>
      </c>
      <c r="H245" s="64" t="s">
        <v>66</v>
      </c>
      <c r="I245" s="64" t="s">
        <v>1014</v>
      </c>
      <c r="J245" s="64" t="s">
        <v>1618</v>
      </c>
      <c r="K245" s="64" t="s">
        <v>67</v>
      </c>
      <c r="L245" s="66">
        <f>542500+420000</f>
        <v>962500</v>
      </c>
      <c r="M245" s="66">
        <f>41090+20160</f>
        <v>61250</v>
      </c>
      <c r="N245" s="64" t="s">
        <v>282</v>
      </c>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67">
        <v>45879</v>
      </c>
      <c r="BX245" s="8"/>
      <c r="BY245" s="91" t="s">
        <v>1798</v>
      </c>
      <c r="BZ245" s="2" t="s">
        <v>1703</v>
      </c>
      <c r="CA245" s="14">
        <f t="shared" si="27"/>
        <v>0</v>
      </c>
      <c r="CB245" s="2" t="str">
        <f t="shared" si="28"/>
        <v>CORRIGIR</v>
      </c>
      <c r="CC245" s="13">
        <f t="shared" si="29"/>
        <v>61250</v>
      </c>
    </row>
    <row r="246" spans="1:82" s="9" customFormat="1" ht="80.25" customHeight="1" x14ac:dyDescent="0.25">
      <c r="A246" s="64" t="s">
        <v>1593</v>
      </c>
      <c r="B246" s="2" t="s">
        <v>300</v>
      </c>
      <c r="C246" s="64" t="s">
        <v>274</v>
      </c>
      <c r="D246" s="65" t="s">
        <v>301</v>
      </c>
      <c r="E246" s="2"/>
      <c r="F246" s="64" t="s">
        <v>65</v>
      </c>
      <c r="G246" s="64" t="s">
        <v>2030</v>
      </c>
      <c r="H246" s="64" t="s">
        <v>66</v>
      </c>
      <c r="I246" s="64" t="s">
        <v>5</v>
      </c>
      <c r="J246" s="81">
        <f>4000+1000</f>
        <v>5000</v>
      </c>
      <c r="K246" s="64" t="s">
        <v>67</v>
      </c>
      <c r="L246" s="66">
        <f>32720+171780+31750</f>
        <v>236250</v>
      </c>
      <c r="M246" s="66">
        <v>32720</v>
      </c>
      <c r="N246" s="64" t="s">
        <v>282</v>
      </c>
      <c r="O246" s="7">
        <v>0</v>
      </c>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v>32720</v>
      </c>
      <c r="BO246" s="7"/>
      <c r="BP246" s="7"/>
      <c r="BQ246" s="7"/>
      <c r="BR246" s="7"/>
      <c r="BS246" s="7"/>
      <c r="BT246" s="7"/>
      <c r="BU246" s="7"/>
      <c r="BV246" s="7"/>
      <c r="BW246" s="67">
        <v>45931</v>
      </c>
      <c r="BX246" s="2"/>
      <c r="BY246" s="64" t="s">
        <v>1798</v>
      </c>
      <c r="BZ246" s="2"/>
      <c r="CA246" s="14">
        <f t="shared" si="27"/>
        <v>32720</v>
      </c>
      <c r="CB246" s="2" t="str">
        <f t="shared" si="28"/>
        <v>OK</v>
      </c>
      <c r="CC246" s="13">
        <f t="shared" si="29"/>
        <v>0</v>
      </c>
    </row>
    <row r="247" spans="1:82" s="9" customFormat="1" ht="67.5" customHeight="1" x14ac:dyDescent="0.25">
      <c r="A247" s="64" t="s">
        <v>1570</v>
      </c>
      <c r="B247" s="64" t="s">
        <v>1063</v>
      </c>
      <c r="C247" s="64" t="s">
        <v>1051</v>
      </c>
      <c r="D247" s="65" t="s">
        <v>1944</v>
      </c>
      <c r="E247" s="2"/>
      <c r="F247" s="64" t="s">
        <v>65</v>
      </c>
      <c r="G247" s="64" t="s">
        <v>2031</v>
      </c>
      <c r="H247" s="64" t="s">
        <v>66</v>
      </c>
      <c r="I247" s="64" t="s">
        <v>5</v>
      </c>
      <c r="J247" s="64">
        <v>1</v>
      </c>
      <c r="K247" s="64" t="s">
        <v>67</v>
      </c>
      <c r="L247" s="66">
        <f>100000-94000</f>
        <v>6000</v>
      </c>
      <c r="M247" s="66">
        <f>100000-94000</f>
        <v>6000</v>
      </c>
      <c r="N247" s="64" t="s">
        <v>33</v>
      </c>
      <c r="O247" s="7">
        <v>0</v>
      </c>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v>100000</v>
      </c>
      <c r="BN247" s="7"/>
      <c r="BO247" s="7"/>
      <c r="BP247" s="7"/>
      <c r="BQ247" s="7"/>
      <c r="BR247" s="7"/>
      <c r="BS247" s="7"/>
      <c r="BT247" s="7"/>
      <c r="BU247" s="7"/>
      <c r="BV247" s="7"/>
      <c r="BW247" s="67">
        <v>45747</v>
      </c>
      <c r="BX247" s="2"/>
      <c r="BY247" s="83" t="s">
        <v>1800</v>
      </c>
      <c r="BZ247" s="2"/>
      <c r="CA247" s="14">
        <f t="shared" si="27"/>
        <v>100000</v>
      </c>
      <c r="CB247" s="2" t="str">
        <f t="shared" si="28"/>
        <v>CORRIGIR</v>
      </c>
      <c r="CC247" s="13">
        <f t="shared" si="29"/>
        <v>-94000</v>
      </c>
    </row>
    <row r="248" spans="1:82" s="9" customFormat="1" ht="64.5" customHeight="1" x14ac:dyDescent="0.25">
      <c r="A248" s="64" t="s">
        <v>1963</v>
      </c>
      <c r="B248" s="64" t="s">
        <v>1964</v>
      </c>
      <c r="C248" s="64" t="s">
        <v>1051</v>
      </c>
      <c r="D248" s="65" t="s">
        <v>1965</v>
      </c>
      <c r="E248" s="2"/>
      <c r="F248" s="64" t="s">
        <v>65</v>
      </c>
      <c r="G248" s="64" t="s">
        <v>2031</v>
      </c>
      <c r="H248" s="64" t="s">
        <v>66</v>
      </c>
      <c r="I248" s="64" t="s">
        <v>1618</v>
      </c>
      <c r="J248" s="64" t="s">
        <v>1618</v>
      </c>
      <c r="K248" s="64" t="s">
        <v>67</v>
      </c>
      <c r="L248" s="66">
        <v>55000</v>
      </c>
      <c r="M248" s="66">
        <f>55000</f>
        <v>55000</v>
      </c>
      <c r="N248" s="64" t="s">
        <v>33</v>
      </c>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67">
        <v>45747</v>
      </c>
      <c r="BX248" s="32"/>
      <c r="BY248" s="64" t="s">
        <v>1800</v>
      </c>
      <c r="BZ248" s="2"/>
      <c r="CA248" s="14">
        <f t="shared" si="27"/>
        <v>0</v>
      </c>
      <c r="CB248" s="2" t="str">
        <f t="shared" si="28"/>
        <v>CORRIGIR</v>
      </c>
      <c r="CC248" s="13">
        <f t="shared" si="29"/>
        <v>55000</v>
      </c>
    </row>
    <row r="249" spans="1:82" s="9" customFormat="1" ht="73.5" customHeight="1" x14ac:dyDescent="0.25">
      <c r="A249" s="2" t="s">
        <v>1569</v>
      </c>
      <c r="B249" s="2" t="s">
        <v>1062</v>
      </c>
      <c r="C249" s="2" t="s">
        <v>1051</v>
      </c>
      <c r="D249" s="12" t="s">
        <v>1834</v>
      </c>
      <c r="E249" s="2"/>
      <c r="F249" s="2" t="s">
        <v>72</v>
      </c>
      <c r="G249" s="2" t="s">
        <v>2031</v>
      </c>
      <c r="H249" s="2" t="s">
        <v>66</v>
      </c>
      <c r="I249" s="2" t="s">
        <v>5</v>
      </c>
      <c r="J249" s="2" t="s">
        <v>1618</v>
      </c>
      <c r="K249" s="2" t="s">
        <v>67</v>
      </c>
      <c r="L249" s="22">
        <v>40000</v>
      </c>
      <c r="M249" s="22">
        <v>40000</v>
      </c>
      <c r="N249" s="2" t="s">
        <v>33</v>
      </c>
      <c r="O249" s="7">
        <v>0</v>
      </c>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v>17459</v>
      </c>
      <c r="BN249" s="7"/>
      <c r="BO249" s="7"/>
      <c r="BP249" s="7"/>
      <c r="BQ249" s="7"/>
      <c r="BR249" s="7"/>
      <c r="BS249" s="7"/>
      <c r="BT249" s="7"/>
      <c r="BU249" s="7"/>
      <c r="BV249" s="7"/>
      <c r="BW249" s="8">
        <v>45762</v>
      </c>
      <c r="BX249" s="2"/>
      <c r="BY249" s="2" t="s">
        <v>1798</v>
      </c>
      <c r="BZ249" s="2" t="s">
        <v>1732</v>
      </c>
      <c r="CA249" s="14">
        <f t="shared" si="27"/>
        <v>17459</v>
      </c>
      <c r="CB249" s="2" t="str">
        <f t="shared" si="28"/>
        <v>CORRIGIR</v>
      </c>
      <c r="CC249" s="13">
        <f t="shared" si="29"/>
        <v>22541</v>
      </c>
    </row>
    <row r="250" spans="1:82" s="9" customFormat="1" ht="73.5" customHeight="1" x14ac:dyDescent="0.25">
      <c r="A250" s="2" t="s">
        <v>1580</v>
      </c>
      <c r="B250" s="2" t="s">
        <v>1088</v>
      </c>
      <c r="C250" s="2" t="s">
        <v>1051</v>
      </c>
      <c r="D250" s="12" t="s">
        <v>1089</v>
      </c>
      <c r="E250" s="2"/>
      <c r="F250" s="2" t="s">
        <v>72</v>
      </c>
      <c r="G250" s="2" t="s">
        <v>2031</v>
      </c>
      <c r="H250" s="2" t="s">
        <v>66</v>
      </c>
      <c r="I250" s="2" t="s">
        <v>686</v>
      </c>
      <c r="J250" s="2" t="s">
        <v>1618</v>
      </c>
      <c r="K250" s="2" t="s">
        <v>67</v>
      </c>
      <c r="L250" s="22">
        <v>408000</v>
      </c>
      <c r="M250" s="22">
        <v>255000</v>
      </c>
      <c r="N250" s="2" t="s">
        <v>33</v>
      </c>
      <c r="O250" s="7">
        <v>0</v>
      </c>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v>255000</v>
      </c>
      <c r="BN250" s="7"/>
      <c r="BO250" s="7"/>
      <c r="BP250" s="7"/>
      <c r="BQ250" s="7"/>
      <c r="BR250" s="7"/>
      <c r="BS250" s="7"/>
      <c r="BT250" s="7"/>
      <c r="BU250" s="7"/>
      <c r="BV250" s="7"/>
      <c r="BW250" s="8">
        <v>45793</v>
      </c>
      <c r="BX250" s="2"/>
      <c r="BY250" s="2" t="s">
        <v>1801</v>
      </c>
      <c r="BZ250" s="2"/>
      <c r="CA250" s="14">
        <f t="shared" si="27"/>
        <v>255000</v>
      </c>
      <c r="CB250" s="2" t="str">
        <f t="shared" si="28"/>
        <v>OK</v>
      </c>
      <c r="CC250" s="13">
        <f t="shared" si="29"/>
        <v>0</v>
      </c>
      <c r="CD250" s="50"/>
    </row>
    <row r="251" spans="1:82" s="9" customFormat="1" ht="102.75" customHeight="1" x14ac:dyDescent="0.25">
      <c r="A251" s="2" t="s">
        <v>1212</v>
      </c>
      <c r="B251" s="2" t="s">
        <v>317</v>
      </c>
      <c r="C251" s="2" t="s">
        <v>274</v>
      </c>
      <c r="D251" s="12" t="s">
        <v>318</v>
      </c>
      <c r="E251" s="2"/>
      <c r="F251" s="2" t="s">
        <v>72</v>
      </c>
      <c r="G251" s="2" t="s">
        <v>2031</v>
      </c>
      <c r="H251" s="2" t="s">
        <v>66</v>
      </c>
      <c r="I251" s="2" t="s">
        <v>319</v>
      </c>
      <c r="J251" s="23">
        <v>2561975</v>
      </c>
      <c r="K251" s="2" t="s">
        <v>67</v>
      </c>
      <c r="L251" s="22">
        <v>10375998.75</v>
      </c>
      <c r="M251" s="22">
        <v>4565439.45</v>
      </c>
      <c r="N251" s="2" t="s">
        <v>40</v>
      </c>
      <c r="O251" s="7">
        <v>0</v>
      </c>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v>4565439.45</v>
      </c>
      <c r="BU251" s="7"/>
      <c r="BV251" s="7"/>
      <c r="BW251" s="8">
        <v>45809</v>
      </c>
      <c r="BX251" s="2"/>
      <c r="BY251" s="2" t="s">
        <v>1801</v>
      </c>
      <c r="BZ251" s="8" t="s">
        <v>1744</v>
      </c>
      <c r="CA251" s="14">
        <f t="shared" si="27"/>
        <v>4565439.45</v>
      </c>
      <c r="CB251" s="2" t="str">
        <f t="shared" si="28"/>
        <v>OK</v>
      </c>
      <c r="CC251" s="13">
        <f t="shared" si="29"/>
        <v>0</v>
      </c>
      <c r="CD251" s="50"/>
    </row>
    <row r="252" spans="1:82" s="9" customFormat="1" ht="71.25" customHeight="1" x14ac:dyDescent="0.25">
      <c r="A252" s="2" t="s">
        <v>1576</v>
      </c>
      <c r="B252" s="2" t="s">
        <v>1075</v>
      </c>
      <c r="C252" s="2" t="s">
        <v>1051</v>
      </c>
      <c r="D252" s="12" t="s">
        <v>1076</v>
      </c>
      <c r="E252" s="2"/>
      <c r="F252" s="2" t="s">
        <v>72</v>
      </c>
      <c r="G252" s="2" t="s">
        <v>2031</v>
      </c>
      <c r="H252" s="2" t="s">
        <v>66</v>
      </c>
      <c r="I252" s="2" t="s">
        <v>1077</v>
      </c>
      <c r="J252" s="23" t="s">
        <v>1688</v>
      </c>
      <c r="K252" s="2" t="s">
        <v>67</v>
      </c>
      <c r="L252" s="22">
        <f>6906182.4+2500000</f>
        <v>9406182.4000000004</v>
      </c>
      <c r="M252" s="22">
        <f>6906182.4</f>
        <v>6906182.4000000004</v>
      </c>
      <c r="N252" s="2" t="s">
        <v>33</v>
      </c>
      <c r="O252" s="7">
        <v>0</v>
      </c>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v>6906182.4000000004</v>
      </c>
      <c r="BN252" s="7"/>
      <c r="BO252" s="7"/>
      <c r="BP252" s="7"/>
      <c r="BQ252" s="7"/>
      <c r="BR252" s="7"/>
      <c r="BS252" s="7"/>
      <c r="BT252" s="7"/>
      <c r="BU252" s="7"/>
      <c r="BV252" s="7"/>
      <c r="BW252" s="8">
        <v>45810</v>
      </c>
      <c r="BX252" s="2"/>
      <c r="BY252" s="2" t="s">
        <v>1801</v>
      </c>
      <c r="BZ252" s="2" t="s">
        <v>1745</v>
      </c>
      <c r="CA252" s="14">
        <f t="shared" si="27"/>
        <v>6906182.4000000004</v>
      </c>
      <c r="CB252" s="2" t="str">
        <f t="shared" si="28"/>
        <v>OK</v>
      </c>
      <c r="CC252" s="13">
        <f t="shared" si="29"/>
        <v>0</v>
      </c>
    </row>
    <row r="253" spans="1:82" s="9" customFormat="1" ht="67.5" customHeight="1" x14ac:dyDescent="0.25">
      <c r="A253" s="2" t="s">
        <v>1586</v>
      </c>
      <c r="B253" s="2" t="s">
        <v>1100</v>
      </c>
      <c r="C253" s="2" t="s">
        <v>676</v>
      </c>
      <c r="D253" s="12" t="s">
        <v>1101</v>
      </c>
      <c r="E253" s="2"/>
      <c r="F253" s="2" t="s">
        <v>65</v>
      </c>
      <c r="G253" s="2" t="s">
        <v>2031</v>
      </c>
      <c r="H253" s="2" t="s">
        <v>66</v>
      </c>
      <c r="I253" s="2" t="s">
        <v>686</v>
      </c>
      <c r="J253" s="2">
        <v>1</v>
      </c>
      <c r="K253" s="2" t="s">
        <v>67</v>
      </c>
      <c r="L253" s="22">
        <v>12677.6</v>
      </c>
      <c r="M253" s="22">
        <v>12677.6</v>
      </c>
      <c r="N253" s="2" t="s">
        <v>11</v>
      </c>
      <c r="O253" s="7"/>
      <c r="P253" s="7"/>
      <c r="Q253" s="7"/>
      <c r="R253" s="7"/>
      <c r="S253" s="7"/>
      <c r="T253" s="7"/>
      <c r="U253" s="7"/>
      <c r="V253" s="7"/>
      <c r="W253" s="7"/>
      <c r="X253" s="7"/>
      <c r="Y253" s="7"/>
      <c r="Z253" s="7"/>
      <c r="AA253" s="7">
        <v>12677.6</v>
      </c>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8">
        <v>45856</v>
      </c>
      <c r="BX253" s="15"/>
      <c r="BY253" s="15" t="s">
        <v>1798</v>
      </c>
      <c r="BZ253" s="57"/>
      <c r="CA253" s="14">
        <f t="shared" si="27"/>
        <v>12677.6</v>
      </c>
      <c r="CB253" s="2" t="str">
        <f t="shared" si="28"/>
        <v>OK</v>
      </c>
      <c r="CC253" s="13">
        <f t="shared" si="29"/>
        <v>0</v>
      </c>
    </row>
    <row r="254" spans="1:82" s="9" customFormat="1" ht="60" customHeight="1" x14ac:dyDescent="0.25">
      <c r="A254" s="2" t="s">
        <v>1582</v>
      </c>
      <c r="B254" s="2" t="s">
        <v>1119</v>
      </c>
      <c r="C254" s="2" t="s">
        <v>1051</v>
      </c>
      <c r="D254" s="12" t="s">
        <v>1817</v>
      </c>
      <c r="E254" s="2"/>
      <c r="F254" s="2" t="s">
        <v>72</v>
      </c>
      <c r="G254" s="2" t="s">
        <v>2031</v>
      </c>
      <c r="H254" s="2" t="s">
        <v>66</v>
      </c>
      <c r="I254" s="2" t="s">
        <v>686</v>
      </c>
      <c r="J254" s="2" t="s">
        <v>1618</v>
      </c>
      <c r="K254" s="2" t="s">
        <v>384</v>
      </c>
      <c r="L254" s="22">
        <v>6000000</v>
      </c>
      <c r="M254" s="22">
        <v>2500000</v>
      </c>
      <c r="N254" s="2" t="s">
        <v>33</v>
      </c>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8">
        <v>45884</v>
      </c>
      <c r="BX254" s="8"/>
      <c r="BY254" s="2" t="s">
        <v>1799</v>
      </c>
      <c r="BZ254" s="2"/>
      <c r="CA254" s="14">
        <f t="shared" si="27"/>
        <v>0</v>
      </c>
      <c r="CB254" s="2" t="str">
        <f t="shared" si="28"/>
        <v>CORRIGIR</v>
      </c>
      <c r="CC254" s="13">
        <f t="shared" si="29"/>
        <v>2500000</v>
      </c>
    </row>
    <row r="255" spans="1:82" s="9" customFormat="1" ht="57.75" customHeight="1" x14ac:dyDescent="0.25">
      <c r="A255" s="2" t="s">
        <v>1566</v>
      </c>
      <c r="B255" s="2" t="s">
        <v>1056</v>
      </c>
      <c r="C255" s="2" t="s">
        <v>1051</v>
      </c>
      <c r="D255" s="12" t="s">
        <v>1057</v>
      </c>
      <c r="E255" s="2"/>
      <c r="F255" s="2" t="s">
        <v>72</v>
      </c>
      <c r="G255" s="2" t="s">
        <v>2031</v>
      </c>
      <c r="H255" s="2" t="s">
        <v>66</v>
      </c>
      <c r="I255" s="2" t="s">
        <v>1618</v>
      </c>
      <c r="J255" s="2" t="s">
        <v>1618</v>
      </c>
      <c r="K255" s="2" t="s">
        <v>67</v>
      </c>
      <c r="L255" s="22">
        <v>135265.46</v>
      </c>
      <c r="M255" s="22">
        <v>135265.46</v>
      </c>
      <c r="N255" s="2" t="s">
        <v>33</v>
      </c>
      <c r="O255" s="7">
        <v>0</v>
      </c>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v>135265.46</v>
      </c>
      <c r="BN255" s="7"/>
      <c r="BO255" s="7"/>
      <c r="BP255" s="7"/>
      <c r="BQ255" s="7"/>
      <c r="BR255" s="7"/>
      <c r="BS255" s="7"/>
      <c r="BT255" s="7"/>
      <c r="BU255" s="7"/>
      <c r="BV255" s="7"/>
      <c r="BW255" s="8">
        <v>45884</v>
      </c>
      <c r="BX255" s="32"/>
      <c r="BY255" s="2" t="s">
        <v>1799</v>
      </c>
      <c r="BZ255" s="2"/>
      <c r="CA255" s="14">
        <f t="shared" si="27"/>
        <v>135265.46</v>
      </c>
      <c r="CB255" s="2" t="str">
        <f t="shared" si="28"/>
        <v>OK</v>
      </c>
      <c r="CC255" s="13">
        <f t="shared" si="29"/>
        <v>0</v>
      </c>
    </row>
    <row r="256" spans="1:82" s="9" customFormat="1" ht="192" customHeight="1" x14ac:dyDescent="0.25">
      <c r="A256" s="64" t="s">
        <v>2152</v>
      </c>
      <c r="B256" s="2"/>
      <c r="C256" s="64" t="s">
        <v>1051</v>
      </c>
      <c r="D256" s="65" t="s">
        <v>2153</v>
      </c>
      <c r="E256" s="2"/>
      <c r="F256" s="64" t="s">
        <v>2154</v>
      </c>
      <c r="G256" s="64" t="s">
        <v>2031</v>
      </c>
      <c r="H256" s="64" t="s">
        <v>66</v>
      </c>
      <c r="I256" s="64" t="s">
        <v>1618</v>
      </c>
      <c r="J256" s="64" t="s">
        <v>1618</v>
      </c>
      <c r="K256" s="64" t="s">
        <v>67</v>
      </c>
      <c r="L256" s="66">
        <v>29813067.600000001</v>
      </c>
      <c r="M256" s="66">
        <v>1000000</v>
      </c>
      <c r="N256" s="64" t="s">
        <v>33</v>
      </c>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67">
        <v>45992</v>
      </c>
      <c r="BX256" s="32"/>
      <c r="BY256" s="64" t="s">
        <v>1800</v>
      </c>
      <c r="BZ256" s="2"/>
      <c r="CA256" s="14"/>
      <c r="CB256" s="2"/>
      <c r="CC256" s="13"/>
    </row>
    <row r="257" spans="1:81" s="9" customFormat="1" ht="108.75" customHeight="1" x14ac:dyDescent="0.25">
      <c r="A257" s="2" t="s">
        <v>1399</v>
      </c>
      <c r="B257" s="2" t="s">
        <v>725</v>
      </c>
      <c r="C257" s="2" t="s">
        <v>715</v>
      </c>
      <c r="D257" s="12" t="s">
        <v>1835</v>
      </c>
      <c r="E257" s="2"/>
      <c r="F257" s="2" t="s">
        <v>65</v>
      </c>
      <c r="G257" s="2" t="s">
        <v>2033</v>
      </c>
      <c r="H257" s="2" t="s">
        <v>66</v>
      </c>
      <c r="I257" s="2" t="s">
        <v>686</v>
      </c>
      <c r="J257" s="2" t="s">
        <v>1643</v>
      </c>
      <c r="K257" s="2" t="s">
        <v>67</v>
      </c>
      <c r="L257" s="22">
        <v>2487600</v>
      </c>
      <c r="M257" s="22">
        <v>2487600</v>
      </c>
      <c r="N257" s="2" t="s">
        <v>1808</v>
      </c>
      <c r="O257" s="7"/>
      <c r="P257" s="7"/>
      <c r="Q257" s="7"/>
      <c r="R257" s="7"/>
      <c r="S257" s="7"/>
      <c r="T257" s="7"/>
      <c r="U257" s="7"/>
      <c r="V257" s="7">
        <v>591600</v>
      </c>
      <c r="W257" s="7"/>
      <c r="X257" s="7"/>
      <c r="Y257" s="7">
        <v>88100</v>
      </c>
      <c r="Z257" s="7">
        <v>768500</v>
      </c>
      <c r="AA257" s="7"/>
      <c r="AB257" s="7"/>
      <c r="AC257" s="7"/>
      <c r="AD257" s="7"/>
      <c r="AE257" s="7"/>
      <c r="AF257" s="7"/>
      <c r="AG257" s="7"/>
      <c r="AH257" s="7"/>
      <c r="AI257" s="7"/>
      <c r="AJ257" s="7"/>
      <c r="AK257" s="7"/>
      <c r="AL257" s="7"/>
      <c r="AM257" s="7"/>
      <c r="AN257" s="7"/>
      <c r="AO257" s="7"/>
      <c r="AP257" s="7"/>
      <c r="AQ257" s="7"/>
      <c r="AR257" s="7"/>
      <c r="AS257" s="7"/>
      <c r="AT257" s="7"/>
      <c r="AU257" s="7"/>
      <c r="AV257" s="7"/>
      <c r="AW257" s="7">
        <v>48300</v>
      </c>
      <c r="AX257" s="7">
        <v>178400</v>
      </c>
      <c r="AY257" s="7"/>
      <c r="AZ257" s="7"/>
      <c r="BA257" s="7"/>
      <c r="BB257" s="7"/>
      <c r="BC257" s="7"/>
      <c r="BD257" s="7"/>
      <c r="BE257" s="7"/>
      <c r="BF257" s="7"/>
      <c r="BG257" s="7"/>
      <c r="BH257" s="7">
        <v>779600</v>
      </c>
      <c r="BI257" s="7">
        <v>22200</v>
      </c>
      <c r="BJ257" s="7"/>
      <c r="BK257" s="7">
        <v>10900</v>
      </c>
      <c r="BL257" s="7"/>
      <c r="BM257" s="7"/>
      <c r="BN257" s="7"/>
      <c r="BO257" s="7"/>
      <c r="BP257" s="7"/>
      <c r="BQ257" s="7"/>
      <c r="BR257" s="7"/>
      <c r="BS257" s="7"/>
      <c r="BT257" s="7"/>
      <c r="BU257" s="7"/>
      <c r="BV257" s="7"/>
      <c r="BW257" s="8">
        <v>45659</v>
      </c>
      <c r="BX257" s="2"/>
      <c r="BY257" s="2" t="s">
        <v>1798</v>
      </c>
      <c r="BZ257" s="2"/>
      <c r="CA257" s="14">
        <f t="shared" ref="CA257:CA273" si="30">SUM(O257:BV257)</f>
        <v>2487600</v>
      </c>
      <c r="CB257" s="2" t="str">
        <f t="shared" ref="CB257:CB273" si="31">IF(M257=CA257,"OK","CORRIGIR")</f>
        <v>OK</v>
      </c>
      <c r="CC257" s="13">
        <f t="shared" ref="CC257:CC273" si="32">M257-CA257</f>
        <v>0</v>
      </c>
    </row>
    <row r="258" spans="1:81" s="9" customFormat="1" ht="107.25" customHeight="1" x14ac:dyDescent="0.25">
      <c r="A258" s="2" t="s">
        <v>1404</v>
      </c>
      <c r="B258" s="2" t="s">
        <v>728</v>
      </c>
      <c r="C258" s="2" t="s">
        <v>715</v>
      </c>
      <c r="D258" s="12" t="s">
        <v>1836</v>
      </c>
      <c r="E258" s="2"/>
      <c r="F258" s="2" t="s">
        <v>65</v>
      </c>
      <c r="G258" s="2" t="s">
        <v>2033</v>
      </c>
      <c r="H258" s="2" t="s">
        <v>66</v>
      </c>
      <c r="I258" s="2" t="s">
        <v>686</v>
      </c>
      <c r="J258" s="2" t="s">
        <v>1618</v>
      </c>
      <c r="K258" s="2" t="s">
        <v>67</v>
      </c>
      <c r="L258" s="22">
        <v>230200</v>
      </c>
      <c r="M258" s="22">
        <v>230200</v>
      </c>
      <c r="N258" s="2" t="s">
        <v>1808</v>
      </c>
      <c r="O258" s="7"/>
      <c r="P258" s="7"/>
      <c r="Q258" s="7"/>
      <c r="R258" s="7"/>
      <c r="S258" s="7"/>
      <c r="T258" s="7"/>
      <c r="U258" s="7"/>
      <c r="V258" s="7">
        <v>21900</v>
      </c>
      <c r="W258" s="7"/>
      <c r="X258" s="7"/>
      <c r="Y258" s="7">
        <v>11200</v>
      </c>
      <c r="Z258" s="7">
        <v>74700</v>
      </c>
      <c r="AA258" s="7"/>
      <c r="AB258" s="7"/>
      <c r="AC258" s="7"/>
      <c r="AD258" s="7"/>
      <c r="AE258" s="7"/>
      <c r="AF258" s="7"/>
      <c r="AG258" s="7"/>
      <c r="AH258" s="7"/>
      <c r="AI258" s="7"/>
      <c r="AJ258" s="7"/>
      <c r="AK258" s="7"/>
      <c r="AL258" s="7"/>
      <c r="AM258" s="7"/>
      <c r="AN258" s="7"/>
      <c r="AO258" s="7"/>
      <c r="AP258" s="7"/>
      <c r="AQ258" s="7"/>
      <c r="AR258" s="7"/>
      <c r="AS258" s="7"/>
      <c r="AT258" s="7"/>
      <c r="AU258" s="7"/>
      <c r="AV258" s="7"/>
      <c r="AW258" s="7">
        <v>16900</v>
      </c>
      <c r="AX258" s="7">
        <v>29500</v>
      </c>
      <c r="AY258" s="7"/>
      <c r="AZ258" s="7"/>
      <c r="BA258" s="7"/>
      <c r="BB258" s="7"/>
      <c r="BC258" s="7"/>
      <c r="BD258" s="7"/>
      <c r="BE258" s="7"/>
      <c r="BF258" s="7"/>
      <c r="BG258" s="7"/>
      <c r="BH258" s="7">
        <v>50900</v>
      </c>
      <c r="BI258" s="7">
        <v>19600</v>
      </c>
      <c r="BJ258" s="7"/>
      <c r="BK258" s="7">
        <v>5500</v>
      </c>
      <c r="BL258" s="7"/>
      <c r="BM258" s="7"/>
      <c r="BN258" s="7"/>
      <c r="BO258" s="7"/>
      <c r="BP258" s="7"/>
      <c r="BQ258" s="7"/>
      <c r="BR258" s="7"/>
      <c r="BS258" s="7"/>
      <c r="BT258" s="7"/>
      <c r="BU258" s="7"/>
      <c r="BV258" s="7"/>
      <c r="BW258" s="8">
        <v>45659</v>
      </c>
      <c r="BX258" s="2"/>
      <c r="BY258" s="2" t="s">
        <v>1800</v>
      </c>
      <c r="BZ258" s="2"/>
      <c r="CA258" s="14">
        <f t="shared" si="30"/>
        <v>230200</v>
      </c>
      <c r="CB258" s="2" t="str">
        <f t="shared" si="31"/>
        <v>OK</v>
      </c>
      <c r="CC258" s="13">
        <f t="shared" si="32"/>
        <v>0</v>
      </c>
    </row>
    <row r="259" spans="1:81" s="9" customFormat="1" ht="114.75" customHeight="1" x14ac:dyDescent="0.25">
      <c r="A259" s="2" t="s">
        <v>1405</v>
      </c>
      <c r="B259" s="2" t="s">
        <v>727</v>
      </c>
      <c r="C259" s="2" t="s">
        <v>715</v>
      </c>
      <c r="D259" s="12" t="s">
        <v>1837</v>
      </c>
      <c r="E259" s="2"/>
      <c r="F259" s="2" t="s">
        <v>65</v>
      </c>
      <c r="G259" s="2" t="s">
        <v>2033</v>
      </c>
      <c r="H259" s="2" t="s">
        <v>66</v>
      </c>
      <c r="I259" s="2" t="s">
        <v>686</v>
      </c>
      <c r="J259" s="2" t="s">
        <v>1618</v>
      </c>
      <c r="K259" s="2" t="s">
        <v>67</v>
      </c>
      <c r="L259" s="22">
        <v>215100</v>
      </c>
      <c r="M259" s="22">
        <v>215100</v>
      </c>
      <c r="N259" s="2" t="s">
        <v>1808</v>
      </c>
      <c r="O259" s="7"/>
      <c r="P259" s="7"/>
      <c r="Q259" s="7"/>
      <c r="R259" s="7"/>
      <c r="S259" s="7"/>
      <c r="T259" s="7"/>
      <c r="U259" s="7"/>
      <c r="V259" s="7">
        <v>1100</v>
      </c>
      <c r="W259" s="7"/>
      <c r="X259" s="7"/>
      <c r="Y259" s="7">
        <v>8900</v>
      </c>
      <c r="Z259" s="7">
        <v>39700</v>
      </c>
      <c r="AA259" s="7"/>
      <c r="AB259" s="7"/>
      <c r="AC259" s="7"/>
      <c r="AD259" s="7"/>
      <c r="AE259" s="7"/>
      <c r="AF259" s="7"/>
      <c r="AG259" s="7"/>
      <c r="AH259" s="7"/>
      <c r="AI259" s="7"/>
      <c r="AJ259" s="7"/>
      <c r="AK259" s="7"/>
      <c r="AL259" s="7"/>
      <c r="AM259" s="7"/>
      <c r="AN259" s="7"/>
      <c r="AO259" s="7"/>
      <c r="AP259" s="7"/>
      <c r="AQ259" s="7"/>
      <c r="AR259" s="7"/>
      <c r="AS259" s="7"/>
      <c r="AT259" s="7"/>
      <c r="AU259" s="7"/>
      <c r="AV259" s="7"/>
      <c r="AW259" s="7">
        <v>9700</v>
      </c>
      <c r="AX259" s="7">
        <v>16400</v>
      </c>
      <c r="AY259" s="7"/>
      <c r="AZ259" s="7"/>
      <c r="BA259" s="7"/>
      <c r="BB259" s="7"/>
      <c r="BC259" s="7"/>
      <c r="BD259" s="7"/>
      <c r="BE259" s="7"/>
      <c r="BF259" s="7"/>
      <c r="BG259" s="7"/>
      <c r="BH259" s="7">
        <v>115800</v>
      </c>
      <c r="BI259" s="7">
        <v>18000</v>
      </c>
      <c r="BJ259" s="7"/>
      <c r="BK259" s="7">
        <v>5500</v>
      </c>
      <c r="BL259" s="7"/>
      <c r="BM259" s="7"/>
      <c r="BN259" s="7"/>
      <c r="BO259" s="7"/>
      <c r="BP259" s="7"/>
      <c r="BQ259" s="7"/>
      <c r="BR259" s="7"/>
      <c r="BS259" s="7"/>
      <c r="BT259" s="7"/>
      <c r="BU259" s="7"/>
      <c r="BV259" s="7"/>
      <c r="BW259" s="8">
        <v>45659</v>
      </c>
      <c r="BX259" s="2"/>
      <c r="BY259" s="2" t="s">
        <v>1798</v>
      </c>
      <c r="BZ259" s="2" t="s">
        <v>1749</v>
      </c>
      <c r="CA259" s="14">
        <f t="shared" si="30"/>
        <v>215100</v>
      </c>
      <c r="CB259" s="2" t="str">
        <f t="shared" si="31"/>
        <v>OK</v>
      </c>
      <c r="CC259" s="13">
        <f t="shared" si="32"/>
        <v>0</v>
      </c>
    </row>
    <row r="260" spans="1:81" s="9" customFormat="1" ht="120" customHeight="1" x14ac:dyDescent="0.25">
      <c r="A260" s="2" t="s">
        <v>1406</v>
      </c>
      <c r="B260" s="2" t="s">
        <v>721</v>
      </c>
      <c r="C260" s="2" t="s">
        <v>715</v>
      </c>
      <c r="D260" s="12" t="s">
        <v>1838</v>
      </c>
      <c r="E260" s="2"/>
      <c r="F260" s="2" t="s">
        <v>65</v>
      </c>
      <c r="G260" s="2" t="s">
        <v>2033</v>
      </c>
      <c r="H260" s="2" t="s">
        <v>66</v>
      </c>
      <c r="I260" s="2" t="s">
        <v>686</v>
      </c>
      <c r="J260" s="2" t="s">
        <v>1618</v>
      </c>
      <c r="K260" s="2" t="s">
        <v>67</v>
      </c>
      <c r="L260" s="22">
        <v>195600</v>
      </c>
      <c r="M260" s="22">
        <v>195600</v>
      </c>
      <c r="N260" s="2" t="s">
        <v>1808</v>
      </c>
      <c r="O260" s="7"/>
      <c r="P260" s="7"/>
      <c r="Q260" s="7"/>
      <c r="R260" s="7"/>
      <c r="S260" s="7"/>
      <c r="T260" s="7"/>
      <c r="U260" s="7"/>
      <c r="V260" s="7">
        <v>16600</v>
      </c>
      <c r="W260" s="7"/>
      <c r="X260" s="7"/>
      <c r="Y260" s="7">
        <v>13200</v>
      </c>
      <c r="Z260" s="7">
        <v>29400</v>
      </c>
      <c r="AA260" s="7"/>
      <c r="AB260" s="7"/>
      <c r="AC260" s="7"/>
      <c r="AD260" s="7"/>
      <c r="AE260" s="7"/>
      <c r="AF260" s="7"/>
      <c r="AG260" s="7"/>
      <c r="AH260" s="7"/>
      <c r="AI260" s="7"/>
      <c r="AJ260" s="7"/>
      <c r="AK260" s="7"/>
      <c r="AL260" s="7"/>
      <c r="AM260" s="7"/>
      <c r="AN260" s="7"/>
      <c r="AO260" s="7"/>
      <c r="AP260" s="7"/>
      <c r="AQ260" s="7"/>
      <c r="AR260" s="7"/>
      <c r="AS260" s="7"/>
      <c r="AT260" s="7"/>
      <c r="AU260" s="7"/>
      <c r="AV260" s="7"/>
      <c r="AW260" s="7">
        <v>62300</v>
      </c>
      <c r="AX260" s="7">
        <v>25800</v>
      </c>
      <c r="AY260" s="7"/>
      <c r="AZ260" s="7"/>
      <c r="BA260" s="7"/>
      <c r="BB260" s="7"/>
      <c r="BC260" s="7"/>
      <c r="BD260" s="7"/>
      <c r="BE260" s="7"/>
      <c r="BF260" s="7"/>
      <c r="BG260" s="7"/>
      <c r="BH260" s="7">
        <v>32600</v>
      </c>
      <c r="BI260" s="7">
        <v>14600</v>
      </c>
      <c r="BJ260" s="7"/>
      <c r="BK260" s="7">
        <v>1100</v>
      </c>
      <c r="BL260" s="7"/>
      <c r="BM260" s="7"/>
      <c r="BN260" s="7"/>
      <c r="BO260" s="7"/>
      <c r="BP260" s="7"/>
      <c r="BQ260" s="7"/>
      <c r="BR260" s="7"/>
      <c r="BS260" s="7"/>
      <c r="BT260" s="7"/>
      <c r="BU260" s="7"/>
      <c r="BV260" s="7"/>
      <c r="BW260" s="8">
        <v>45659</v>
      </c>
      <c r="BX260" s="2"/>
      <c r="BY260" s="2" t="s">
        <v>1800</v>
      </c>
      <c r="BZ260" s="2"/>
      <c r="CA260" s="14">
        <f t="shared" si="30"/>
        <v>195600</v>
      </c>
      <c r="CB260" s="2" t="str">
        <f t="shared" si="31"/>
        <v>OK</v>
      </c>
      <c r="CC260" s="13">
        <f t="shared" si="32"/>
        <v>0</v>
      </c>
    </row>
    <row r="261" spans="1:81" s="9" customFormat="1" ht="110.1" customHeight="1" x14ac:dyDescent="0.25">
      <c r="A261" s="2" t="s">
        <v>1407</v>
      </c>
      <c r="B261" s="2" t="s">
        <v>731</v>
      </c>
      <c r="C261" s="2" t="s">
        <v>715</v>
      </c>
      <c r="D261" s="12" t="s">
        <v>732</v>
      </c>
      <c r="E261" s="2"/>
      <c r="F261" s="2" t="s">
        <v>65</v>
      </c>
      <c r="G261" s="2" t="s">
        <v>2033</v>
      </c>
      <c r="H261" s="2" t="s">
        <v>66</v>
      </c>
      <c r="I261" s="2" t="s">
        <v>686</v>
      </c>
      <c r="J261" s="2" t="s">
        <v>1618</v>
      </c>
      <c r="K261" s="2" t="s">
        <v>67</v>
      </c>
      <c r="L261" s="22">
        <v>128400</v>
      </c>
      <c r="M261" s="22">
        <v>128400</v>
      </c>
      <c r="N261" s="2" t="s">
        <v>1808</v>
      </c>
      <c r="O261" s="7"/>
      <c r="P261" s="7"/>
      <c r="Q261" s="7"/>
      <c r="R261" s="7"/>
      <c r="S261" s="7"/>
      <c r="T261" s="7"/>
      <c r="U261" s="7"/>
      <c r="V261" s="7">
        <v>22300</v>
      </c>
      <c r="W261" s="7"/>
      <c r="X261" s="7"/>
      <c r="Y261" s="7">
        <v>5500</v>
      </c>
      <c r="Z261" s="7">
        <v>31200</v>
      </c>
      <c r="AA261" s="7"/>
      <c r="AB261" s="7"/>
      <c r="AC261" s="7"/>
      <c r="AD261" s="7"/>
      <c r="AE261" s="7"/>
      <c r="AF261" s="7"/>
      <c r="AG261" s="7"/>
      <c r="AH261" s="7"/>
      <c r="AI261" s="7"/>
      <c r="AJ261" s="7"/>
      <c r="AK261" s="7"/>
      <c r="AL261" s="7"/>
      <c r="AM261" s="7"/>
      <c r="AN261" s="7"/>
      <c r="AO261" s="7"/>
      <c r="AP261" s="7"/>
      <c r="AQ261" s="7"/>
      <c r="AR261" s="7"/>
      <c r="AS261" s="7"/>
      <c r="AT261" s="7"/>
      <c r="AU261" s="7"/>
      <c r="AV261" s="7"/>
      <c r="AW261" s="7">
        <v>26900</v>
      </c>
      <c r="AX261" s="7">
        <v>8300</v>
      </c>
      <c r="AY261" s="7"/>
      <c r="AZ261" s="7"/>
      <c r="BA261" s="7"/>
      <c r="BB261" s="7"/>
      <c r="BC261" s="7"/>
      <c r="BD261" s="7"/>
      <c r="BE261" s="7"/>
      <c r="BF261" s="7"/>
      <c r="BG261" s="7"/>
      <c r="BH261" s="7">
        <v>23500</v>
      </c>
      <c r="BI261" s="7">
        <v>7400</v>
      </c>
      <c r="BJ261" s="7"/>
      <c r="BK261" s="7">
        <v>3300</v>
      </c>
      <c r="BL261" s="7"/>
      <c r="BM261" s="7"/>
      <c r="BN261" s="7"/>
      <c r="BO261" s="7"/>
      <c r="BP261" s="7"/>
      <c r="BQ261" s="7"/>
      <c r="BR261" s="7"/>
      <c r="BS261" s="7"/>
      <c r="BT261" s="7"/>
      <c r="BU261" s="7"/>
      <c r="BV261" s="7"/>
      <c r="BW261" s="8">
        <v>45659</v>
      </c>
      <c r="BX261" s="2"/>
      <c r="BY261" s="2" t="s">
        <v>1798</v>
      </c>
      <c r="BZ261" s="8" t="s">
        <v>1752</v>
      </c>
      <c r="CA261" s="14">
        <f t="shared" si="30"/>
        <v>128400</v>
      </c>
      <c r="CB261" s="2" t="str">
        <f t="shared" si="31"/>
        <v>OK</v>
      </c>
      <c r="CC261" s="13">
        <f t="shared" si="32"/>
        <v>0</v>
      </c>
    </row>
    <row r="262" spans="1:81" s="9" customFormat="1" ht="110.1" customHeight="1" x14ac:dyDescent="0.25">
      <c r="A262" s="2" t="s">
        <v>1408</v>
      </c>
      <c r="B262" s="2" t="s">
        <v>718</v>
      </c>
      <c r="C262" s="2" t="s">
        <v>715</v>
      </c>
      <c r="D262" s="12" t="s">
        <v>1839</v>
      </c>
      <c r="E262" s="2"/>
      <c r="F262" s="2" t="s">
        <v>65</v>
      </c>
      <c r="G262" s="2" t="s">
        <v>2033</v>
      </c>
      <c r="H262" s="2" t="s">
        <v>66</v>
      </c>
      <c r="I262" s="2" t="s">
        <v>686</v>
      </c>
      <c r="J262" s="2" t="s">
        <v>1618</v>
      </c>
      <c r="K262" s="2" t="s">
        <v>67</v>
      </c>
      <c r="L262" s="22">
        <v>126500</v>
      </c>
      <c r="M262" s="22">
        <v>126500</v>
      </c>
      <c r="N262" s="2" t="s">
        <v>1808</v>
      </c>
      <c r="O262" s="7"/>
      <c r="P262" s="7"/>
      <c r="Q262" s="7"/>
      <c r="R262" s="7"/>
      <c r="S262" s="7"/>
      <c r="T262" s="7"/>
      <c r="U262" s="7"/>
      <c r="V262" s="7">
        <v>18200</v>
      </c>
      <c r="W262" s="7"/>
      <c r="X262" s="7"/>
      <c r="Y262" s="7">
        <v>13800</v>
      </c>
      <c r="Z262" s="7">
        <v>32800</v>
      </c>
      <c r="AA262" s="7"/>
      <c r="AB262" s="7"/>
      <c r="AC262" s="7"/>
      <c r="AD262" s="7"/>
      <c r="AE262" s="7"/>
      <c r="AF262" s="7"/>
      <c r="AG262" s="7"/>
      <c r="AH262" s="7"/>
      <c r="AI262" s="7"/>
      <c r="AJ262" s="7"/>
      <c r="AK262" s="7"/>
      <c r="AL262" s="7"/>
      <c r="AM262" s="7"/>
      <c r="AN262" s="7"/>
      <c r="AO262" s="7"/>
      <c r="AP262" s="7"/>
      <c r="AQ262" s="7"/>
      <c r="AR262" s="7"/>
      <c r="AS262" s="7"/>
      <c r="AT262" s="7"/>
      <c r="AU262" s="7"/>
      <c r="AV262" s="7"/>
      <c r="AW262" s="7">
        <v>5600</v>
      </c>
      <c r="AX262" s="7">
        <v>13800</v>
      </c>
      <c r="AY262" s="7"/>
      <c r="AZ262" s="7"/>
      <c r="BA262" s="7"/>
      <c r="BB262" s="7"/>
      <c r="BC262" s="7"/>
      <c r="BD262" s="7"/>
      <c r="BE262" s="7"/>
      <c r="BF262" s="7"/>
      <c r="BG262" s="7"/>
      <c r="BH262" s="7">
        <v>26900</v>
      </c>
      <c r="BI262" s="7">
        <v>10500</v>
      </c>
      <c r="BJ262" s="7"/>
      <c r="BK262" s="7">
        <v>4900</v>
      </c>
      <c r="BL262" s="7"/>
      <c r="BM262" s="7"/>
      <c r="BN262" s="7"/>
      <c r="BO262" s="7"/>
      <c r="BP262" s="7"/>
      <c r="BQ262" s="7"/>
      <c r="BR262" s="7"/>
      <c r="BS262" s="7"/>
      <c r="BT262" s="7"/>
      <c r="BU262" s="7"/>
      <c r="BV262" s="7"/>
      <c r="BW262" s="8">
        <v>45659</v>
      </c>
      <c r="BX262" s="2"/>
      <c r="BY262" s="2" t="s">
        <v>1800</v>
      </c>
      <c r="BZ262" s="2" t="s">
        <v>1749</v>
      </c>
      <c r="CA262" s="14">
        <f t="shared" si="30"/>
        <v>126500</v>
      </c>
      <c r="CB262" s="2" t="str">
        <f t="shared" si="31"/>
        <v>OK</v>
      </c>
      <c r="CC262" s="13">
        <f t="shared" si="32"/>
        <v>0</v>
      </c>
    </row>
    <row r="263" spans="1:81" s="9" customFormat="1" ht="107.25" customHeight="1" x14ac:dyDescent="0.25">
      <c r="A263" s="2" t="s">
        <v>1409</v>
      </c>
      <c r="B263" s="2" t="s">
        <v>722</v>
      </c>
      <c r="C263" s="2" t="s">
        <v>715</v>
      </c>
      <c r="D263" s="12" t="s">
        <v>723</v>
      </c>
      <c r="E263" s="2"/>
      <c r="F263" s="2" t="s">
        <v>65</v>
      </c>
      <c r="G263" s="2" t="s">
        <v>2033</v>
      </c>
      <c r="H263" s="2" t="s">
        <v>66</v>
      </c>
      <c r="I263" s="2" t="s">
        <v>686</v>
      </c>
      <c r="J263" s="2" t="s">
        <v>1618</v>
      </c>
      <c r="K263" s="2" t="s">
        <v>67</v>
      </c>
      <c r="L263" s="22">
        <v>100600</v>
      </c>
      <c r="M263" s="22">
        <v>100600</v>
      </c>
      <c r="N263" s="2" t="s">
        <v>1808</v>
      </c>
      <c r="O263" s="7"/>
      <c r="P263" s="7"/>
      <c r="Q263" s="7"/>
      <c r="R263" s="7"/>
      <c r="S263" s="7"/>
      <c r="T263" s="7"/>
      <c r="U263" s="7"/>
      <c r="V263" s="7">
        <v>4600</v>
      </c>
      <c r="W263" s="7"/>
      <c r="X263" s="7"/>
      <c r="Y263" s="7">
        <v>15700</v>
      </c>
      <c r="Z263" s="7">
        <v>19000</v>
      </c>
      <c r="AA263" s="7"/>
      <c r="AB263" s="7"/>
      <c r="AC263" s="7"/>
      <c r="AD263" s="7"/>
      <c r="AE263" s="7"/>
      <c r="AF263" s="7"/>
      <c r="AG263" s="7"/>
      <c r="AH263" s="7"/>
      <c r="AI263" s="7"/>
      <c r="AJ263" s="7"/>
      <c r="AK263" s="7"/>
      <c r="AL263" s="7"/>
      <c r="AM263" s="7"/>
      <c r="AN263" s="7"/>
      <c r="AO263" s="7"/>
      <c r="AP263" s="7"/>
      <c r="AQ263" s="7"/>
      <c r="AR263" s="7"/>
      <c r="AS263" s="7"/>
      <c r="AT263" s="7"/>
      <c r="AU263" s="7"/>
      <c r="AV263" s="7"/>
      <c r="AW263" s="7">
        <v>5500</v>
      </c>
      <c r="AX263" s="7">
        <v>30100</v>
      </c>
      <c r="AY263" s="7"/>
      <c r="AZ263" s="7"/>
      <c r="BA263" s="7"/>
      <c r="BB263" s="7"/>
      <c r="BC263" s="7"/>
      <c r="BD263" s="7"/>
      <c r="BE263" s="7"/>
      <c r="BF263" s="7"/>
      <c r="BG263" s="7"/>
      <c r="BH263" s="7">
        <v>18100</v>
      </c>
      <c r="BI263" s="7">
        <v>2100</v>
      </c>
      <c r="BJ263" s="7"/>
      <c r="BK263" s="7">
        <v>5500</v>
      </c>
      <c r="BL263" s="7"/>
      <c r="BM263" s="7"/>
      <c r="BN263" s="7"/>
      <c r="BO263" s="7"/>
      <c r="BP263" s="7"/>
      <c r="BQ263" s="7"/>
      <c r="BR263" s="7"/>
      <c r="BS263" s="7"/>
      <c r="BT263" s="7"/>
      <c r="BU263" s="7"/>
      <c r="BV263" s="7"/>
      <c r="BW263" s="8">
        <v>45659</v>
      </c>
      <c r="BX263" s="2"/>
      <c r="BY263" s="2" t="s">
        <v>1798</v>
      </c>
      <c r="BZ263" s="2"/>
      <c r="CA263" s="14">
        <f t="shared" si="30"/>
        <v>100600</v>
      </c>
      <c r="CB263" s="2" t="str">
        <f t="shared" si="31"/>
        <v>OK</v>
      </c>
      <c r="CC263" s="13">
        <f t="shared" si="32"/>
        <v>0</v>
      </c>
    </row>
    <row r="264" spans="1:81" s="9" customFormat="1" ht="108" customHeight="1" x14ac:dyDescent="0.25">
      <c r="A264" s="2" t="s">
        <v>1410</v>
      </c>
      <c r="B264" s="2" t="s">
        <v>720</v>
      </c>
      <c r="C264" s="2" t="s">
        <v>715</v>
      </c>
      <c r="D264" s="12" t="s">
        <v>1840</v>
      </c>
      <c r="E264" s="2"/>
      <c r="F264" s="2" t="s">
        <v>65</v>
      </c>
      <c r="G264" s="2" t="s">
        <v>2033</v>
      </c>
      <c r="H264" s="2" t="s">
        <v>66</v>
      </c>
      <c r="I264" s="2" t="s">
        <v>686</v>
      </c>
      <c r="J264" s="2" t="s">
        <v>1618</v>
      </c>
      <c r="K264" s="2" t="s">
        <v>67</v>
      </c>
      <c r="L264" s="22">
        <v>80100</v>
      </c>
      <c r="M264" s="22">
        <v>80100</v>
      </c>
      <c r="N264" s="2" t="s">
        <v>1808</v>
      </c>
      <c r="O264" s="7"/>
      <c r="P264" s="7"/>
      <c r="Q264" s="7"/>
      <c r="R264" s="7"/>
      <c r="S264" s="7"/>
      <c r="T264" s="7"/>
      <c r="U264" s="7"/>
      <c r="V264" s="7">
        <v>22300</v>
      </c>
      <c r="W264" s="7"/>
      <c r="X264" s="7"/>
      <c r="Y264" s="7">
        <v>5500</v>
      </c>
      <c r="Z264" s="7">
        <v>7000</v>
      </c>
      <c r="AA264" s="7"/>
      <c r="AB264" s="7"/>
      <c r="AC264" s="7"/>
      <c r="AD264" s="7"/>
      <c r="AE264" s="7"/>
      <c r="AF264" s="7"/>
      <c r="AG264" s="7"/>
      <c r="AH264" s="7"/>
      <c r="AI264" s="7"/>
      <c r="AJ264" s="7"/>
      <c r="AK264" s="7"/>
      <c r="AL264" s="7"/>
      <c r="AM264" s="7"/>
      <c r="AN264" s="7"/>
      <c r="AO264" s="7"/>
      <c r="AP264" s="7"/>
      <c r="AQ264" s="7"/>
      <c r="AR264" s="7"/>
      <c r="AS264" s="7"/>
      <c r="AT264" s="7"/>
      <c r="AU264" s="7"/>
      <c r="AV264" s="7"/>
      <c r="AW264" s="7">
        <v>11600</v>
      </c>
      <c r="AX264" s="7">
        <v>12800</v>
      </c>
      <c r="AY264" s="7"/>
      <c r="AZ264" s="7"/>
      <c r="BA264" s="7"/>
      <c r="BB264" s="7"/>
      <c r="BC264" s="7"/>
      <c r="BD264" s="7"/>
      <c r="BE264" s="7"/>
      <c r="BF264" s="7"/>
      <c r="BG264" s="7"/>
      <c r="BH264" s="7">
        <v>4500</v>
      </c>
      <c r="BI264" s="7">
        <v>10900</v>
      </c>
      <c r="BJ264" s="7"/>
      <c r="BK264" s="7">
        <v>5500</v>
      </c>
      <c r="BL264" s="7"/>
      <c r="BM264" s="7"/>
      <c r="BN264" s="7"/>
      <c r="BO264" s="7"/>
      <c r="BP264" s="7"/>
      <c r="BQ264" s="7"/>
      <c r="BR264" s="7"/>
      <c r="BS264" s="7"/>
      <c r="BT264" s="7"/>
      <c r="BU264" s="7"/>
      <c r="BV264" s="7"/>
      <c r="BW264" s="8">
        <v>45659</v>
      </c>
      <c r="BX264" s="2"/>
      <c r="BY264" s="2" t="s">
        <v>1800</v>
      </c>
      <c r="BZ264" s="2"/>
      <c r="CA264" s="14">
        <f t="shared" si="30"/>
        <v>80100</v>
      </c>
      <c r="CB264" s="2" t="str">
        <f t="shared" si="31"/>
        <v>OK</v>
      </c>
      <c r="CC264" s="13">
        <f t="shared" si="32"/>
        <v>0</v>
      </c>
    </row>
    <row r="265" spans="1:81" s="9" customFormat="1" ht="120" customHeight="1" x14ac:dyDescent="0.25">
      <c r="A265" s="2" t="s">
        <v>1411</v>
      </c>
      <c r="B265" s="2" t="s">
        <v>717</v>
      </c>
      <c r="C265" s="2" t="s">
        <v>715</v>
      </c>
      <c r="D265" s="12" t="s">
        <v>1841</v>
      </c>
      <c r="E265" s="2"/>
      <c r="F265" s="2" t="s">
        <v>65</v>
      </c>
      <c r="G265" s="2" t="s">
        <v>2033</v>
      </c>
      <c r="H265" s="2" t="s">
        <v>66</v>
      </c>
      <c r="I265" s="2" t="s">
        <v>686</v>
      </c>
      <c r="J265" s="2" t="s">
        <v>1618</v>
      </c>
      <c r="K265" s="2" t="s">
        <v>67</v>
      </c>
      <c r="L265" s="22">
        <v>60800</v>
      </c>
      <c r="M265" s="22">
        <v>60800</v>
      </c>
      <c r="N265" s="2" t="s">
        <v>1808</v>
      </c>
      <c r="O265" s="7"/>
      <c r="P265" s="7"/>
      <c r="Q265" s="7"/>
      <c r="R265" s="7"/>
      <c r="S265" s="7"/>
      <c r="T265" s="7"/>
      <c r="U265" s="7"/>
      <c r="V265" s="7">
        <v>9300</v>
      </c>
      <c r="W265" s="7"/>
      <c r="X265" s="7"/>
      <c r="Y265" s="7">
        <v>9900</v>
      </c>
      <c r="Z265" s="7">
        <v>11500</v>
      </c>
      <c r="AA265" s="7"/>
      <c r="AB265" s="7"/>
      <c r="AC265" s="7"/>
      <c r="AD265" s="7"/>
      <c r="AE265" s="7"/>
      <c r="AF265" s="7"/>
      <c r="AG265" s="7"/>
      <c r="AH265" s="7"/>
      <c r="AI265" s="7"/>
      <c r="AJ265" s="7"/>
      <c r="AK265" s="7"/>
      <c r="AL265" s="7"/>
      <c r="AM265" s="7"/>
      <c r="AN265" s="7"/>
      <c r="AO265" s="7"/>
      <c r="AP265" s="7"/>
      <c r="AQ265" s="7"/>
      <c r="AR265" s="7"/>
      <c r="AS265" s="7"/>
      <c r="AT265" s="7"/>
      <c r="AU265" s="7"/>
      <c r="AV265" s="7"/>
      <c r="AW265" s="7">
        <v>5500</v>
      </c>
      <c r="AX265" s="7">
        <v>2000</v>
      </c>
      <c r="AY265" s="7"/>
      <c r="AZ265" s="7"/>
      <c r="BA265" s="7"/>
      <c r="BB265" s="7"/>
      <c r="BC265" s="7"/>
      <c r="BD265" s="7"/>
      <c r="BE265" s="7"/>
      <c r="BF265" s="7"/>
      <c r="BG265" s="7"/>
      <c r="BH265" s="7">
        <v>11600</v>
      </c>
      <c r="BI265" s="7">
        <v>5500</v>
      </c>
      <c r="BJ265" s="7"/>
      <c r="BK265" s="7">
        <v>5500</v>
      </c>
      <c r="BL265" s="7"/>
      <c r="BM265" s="7"/>
      <c r="BN265" s="7"/>
      <c r="BO265" s="7"/>
      <c r="BP265" s="7"/>
      <c r="BQ265" s="7"/>
      <c r="BR265" s="7"/>
      <c r="BS265" s="7"/>
      <c r="BT265" s="7"/>
      <c r="BU265" s="7"/>
      <c r="BV265" s="7"/>
      <c r="BW265" s="8">
        <v>45659</v>
      </c>
      <c r="BX265" s="2"/>
      <c r="BY265" s="2" t="s">
        <v>1798</v>
      </c>
      <c r="BZ265" s="2"/>
      <c r="CA265" s="14">
        <f t="shared" si="30"/>
        <v>60800</v>
      </c>
      <c r="CB265" s="2" t="str">
        <f t="shared" si="31"/>
        <v>OK</v>
      </c>
      <c r="CC265" s="13">
        <f t="shared" si="32"/>
        <v>0</v>
      </c>
    </row>
    <row r="266" spans="1:81" s="9" customFormat="1" ht="110.1" customHeight="1" x14ac:dyDescent="0.25">
      <c r="A266" s="2" t="s">
        <v>1412</v>
      </c>
      <c r="B266" s="2" t="s">
        <v>729</v>
      </c>
      <c r="C266" s="2" t="s">
        <v>715</v>
      </c>
      <c r="D266" s="12" t="s">
        <v>1842</v>
      </c>
      <c r="E266" s="2"/>
      <c r="F266" s="2" t="s">
        <v>65</v>
      </c>
      <c r="G266" s="2" t="s">
        <v>2033</v>
      </c>
      <c r="H266" s="2" t="s">
        <v>66</v>
      </c>
      <c r="I266" s="2" t="s">
        <v>686</v>
      </c>
      <c r="J266" s="2" t="s">
        <v>1618</v>
      </c>
      <c r="K266" s="2" t="s">
        <v>67</v>
      </c>
      <c r="L266" s="22">
        <v>54600</v>
      </c>
      <c r="M266" s="22">
        <v>54600</v>
      </c>
      <c r="N266" s="2" t="s">
        <v>1808</v>
      </c>
      <c r="O266" s="7"/>
      <c r="P266" s="7"/>
      <c r="Q266" s="7"/>
      <c r="R266" s="7"/>
      <c r="S266" s="7"/>
      <c r="T266" s="7"/>
      <c r="U266" s="7"/>
      <c r="V266" s="7">
        <v>1100</v>
      </c>
      <c r="W266" s="7"/>
      <c r="X266" s="7"/>
      <c r="Y266" s="7">
        <v>4600</v>
      </c>
      <c r="Z266" s="7">
        <v>30900</v>
      </c>
      <c r="AA266" s="7"/>
      <c r="AB266" s="7"/>
      <c r="AC266" s="7"/>
      <c r="AD266" s="7"/>
      <c r="AE266" s="7"/>
      <c r="AF266" s="7"/>
      <c r="AG266" s="7"/>
      <c r="AH266" s="7"/>
      <c r="AI266" s="7"/>
      <c r="AJ266" s="7"/>
      <c r="AK266" s="7"/>
      <c r="AL266" s="7"/>
      <c r="AM266" s="7"/>
      <c r="AN266" s="7"/>
      <c r="AO266" s="7"/>
      <c r="AP266" s="7"/>
      <c r="AQ266" s="7"/>
      <c r="AR266" s="7"/>
      <c r="AS266" s="7"/>
      <c r="AT266" s="7"/>
      <c r="AU266" s="7"/>
      <c r="AV266" s="7"/>
      <c r="AW266" s="7">
        <v>5500</v>
      </c>
      <c r="AX266" s="7">
        <v>5600</v>
      </c>
      <c r="AY266" s="7"/>
      <c r="AZ266" s="7"/>
      <c r="BA266" s="7"/>
      <c r="BB266" s="7"/>
      <c r="BC266" s="7"/>
      <c r="BD266" s="7"/>
      <c r="BE266" s="7"/>
      <c r="BF266" s="7"/>
      <c r="BG266" s="7"/>
      <c r="BH266" s="7">
        <v>4700</v>
      </c>
      <c r="BI266" s="7">
        <v>1100</v>
      </c>
      <c r="BJ266" s="7"/>
      <c r="BK266" s="7">
        <v>1100</v>
      </c>
      <c r="BL266" s="7"/>
      <c r="BM266" s="7"/>
      <c r="BN266" s="7"/>
      <c r="BO266" s="7"/>
      <c r="BP266" s="7"/>
      <c r="BQ266" s="7"/>
      <c r="BR266" s="7"/>
      <c r="BS266" s="7"/>
      <c r="BT266" s="7"/>
      <c r="BU266" s="7"/>
      <c r="BV266" s="7"/>
      <c r="BW266" s="8">
        <v>45659</v>
      </c>
      <c r="BX266" s="2"/>
      <c r="BY266" s="2" t="s">
        <v>1800</v>
      </c>
      <c r="BZ266" s="8" t="s">
        <v>1744</v>
      </c>
      <c r="CA266" s="14">
        <f t="shared" si="30"/>
        <v>54600</v>
      </c>
      <c r="CB266" s="2" t="str">
        <f t="shared" si="31"/>
        <v>OK</v>
      </c>
      <c r="CC266" s="13">
        <f t="shared" si="32"/>
        <v>0</v>
      </c>
    </row>
    <row r="267" spans="1:81" s="9" customFormat="1" ht="108" customHeight="1" x14ac:dyDescent="0.25">
      <c r="A267" s="2" t="s">
        <v>1413</v>
      </c>
      <c r="B267" s="2" t="s">
        <v>716</v>
      </c>
      <c r="C267" s="2" t="s">
        <v>715</v>
      </c>
      <c r="D267" s="12" t="s">
        <v>1843</v>
      </c>
      <c r="E267" s="2"/>
      <c r="F267" s="2" t="s">
        <v>65</v>
      </c>
      <c r="G267" s="2" t="s">
        <v>2033</v>
      </c>
      <c r="H267" s="2" t="s">
        <v>66</v>
      </c>
      <c r="I267" s="2" t="s">
        <v>686</v>
      </c>
      <c r="J267" s="2" t="s">
        <v>1618</v>
      </c>
      <c r="K267" s="2" t="s">
        <v>67</v>
      </c>
      <c r="L267" s="22">
        <v>31800</v>
      </c>
      <c r="M267" s="22">
        <v>31800</v>
      </c>
      <c r="N267" s="2" t="s">
        <v>1808</v>
      </c>
      <c r="O267" s="7"/>
      <c r="P267" s="7"/>
      <c r="Q267" s="7"/>
      <c r="R267" s="7"/>
      <c r="S267" s="7"/>
      <c r="T267" s="7"/>
      <c r="U267" s="7"/>
      <c r="V267" s="7">
        <v>4500</v>
      </c>
      <c r="W267" s="7"/>
      <c r="X267" s="7"/>
      <c r="Y267" s="7">
        <v>2800</v>
      </c>
      <c r="Z267" s="7">
        <v>10500</v>
      </c>
      <c r="AA267" s="7"/>
      <c r="AB267" s="7"/>
      <c r="AC267" s="7"/>
      <c r="AD267" s="7"/>
      <c r="AE267" s="7"/>
      <c r="AF267" s="7"/>
      <c r="AG267" s="7"/>
      <c r="AH267" s="7"/>
      <c r="AI267" s="7"/>
      <c r="AJ267" s="7"/>
      <c r="AK267" s="7"/>
      <c r="AL267" s="7"/>
      <c r="AM267" s="7"/>
      <c r="AN267" s="7"/>
      <c r="AO267" s="7"/>
      <c r="AP267" s="7"/>
      <c r="AQ267" s="7"/>
      <c r="AR267" s="7"/>
      <c r="AS267" s="7"/>
      <c r="AT267" s="7"/>
      <c r="AU267" s="7"/>
      <c r="AV267" s="7"/>
      <c r="AW267" s="7">
        <v>3300</v>
      </c>
      <c r="AX267" s="7">
        <v>1100</v>
      </c>
      <c r="AY267" s="7"/>
      <c r="AZ267" s="7"/>
      <c r="BA267" s="7"/>
      <c r="BB267" s="7"/>
      <c r="BC267" s="7"/>
      <c r="BD267" s="7"/>
      <c r="BE267" s="7"/>
      <c r="BF267" s="7"/>
      <c r="BG267" s="7"/>
      <c r="BH267" s="7">
        <v>7400</v>
      </c>
      <c r="BI267" s="7">
        <v>1100</v>
      </c>
      <c r="BJ267" s="7"/>
      <c r="BK267" s="7">
        <v>1100</v>
      </c>
      <c r="BL267" s="7"/>
      <c r="BM267" s="7"/>
      <c r="BN267" s="7"/>
      <c r="BO267" s="7"/>
      <c r="BP267" s="7"/>
      <c r="BQ267" s="7"/>
      <c r="BR267" s="7"/>
      <c r="BS267" s="7"/>
      <c r="BT267" s="7"/>
      <c r="BU267" s="7"/>
      <c r="BV267" s="7"/>
      <c r="BW267" s="8">
        <v>45659</v>
      </c>
      <c r="BX267" s="2"/>
      <c r="BY267" s="2" t="s">
        <v>1798</v>
      </c>
      <c r="BZ267" s="2"/>
      <c r="CA267" s="14">
        <f t="shared" si="30"/>
        <v>31800</v>
      </c>
      <c r="CB267" s="2" t="str">
        <f t="shared" si="31"/>
        <v>OK</v>
      </c>
      <c r="CC267" s="13">
        <f t="shared" si="32"/>
        <v>0</v>
      </c>
    </row>
    <row r="268" spans="1:81" s="9" customFormat="1" ht="111.75" customHeight="1" x14ac:dyDescent="0.25">
      <c r="A268" s="2" t="s">
        <v>1414</v>
      </c>
      <c r="B268" s="2" t="s">
        <v>724</v>
      </c>
      <c r="C268" s="2" t="s">
        <v>715</v>
      </c>
      <c r="D268" s="12" t="s">
        <v>1844</v>
      </c>
      <c r="E268" s="2"/>
      <c r="F268" s="2" t="s">
        <v>65</v>
      </c>
      <c r="G268" s="2" t="s">
        <v>2033</v>
      </c>
      <c r="H268" s="2" t="s">
        <v>66</v>
      </c>
      <c r="I268" s="2" t="s">
        <v>686</v>
      </c>
      <c r="J268" s="2" t="s">
        <v>1618</v>
      </c>
      <c r="K268" s="2" t="s">
        <v>67</v>
      </c>
      <c r="L268" s="22">
        <v>31800</v>
      </c>
      <c r="M268" s="22">
        <v>31800</v>
      </c>
      <c r="N268" s="2" t="s">
        <v>1808</v>
      </c>
      <c r="O268" s="7"/>
      <c r="P268" s="7"/>
      <c r="Q268" s="7"/>
      <c r="R268" s="7"/>
      <c r="S268" s="7"/>
      <c r="T268" s="7"/>
      <c r="U268" s="7"/>
      <c r="V268" s="7">
        <v>11300</v>
      </c>
      <c r="W268" s="7"/>
      <c r="X268" s="7"/>
      <c r="Y268" s="7">
        <v>4200</v>
      </c>
      <c r="Z268" s="7">
        <v>3300</v>
      </c>
      <c r="AA268" s="7"/>
      <c r="AB268" s="7"/>
      <c r="AC268" s="7"/>
      <c r="AD268" s="7"/>
      <c r="AE268" s="7"/>
      <c r="AF268" s="7"/>
      <c r="AG268" s="7"/>
      <c r="AH268" s="7"/>
      <c r="AI268" s="7"/>
      <c r="AJ268" s="7"/>
      <c r="AK268" s="7"/>
      <c r="AL268" s="7"/>
      <c r="AM268" s="7"/>
      <c r="AN268" s="7"/>
      <c r="AO268" s="7"/>
      <c r="AP268" s="7"/>
      <c r="AQ268" s="7"/>
      <c r="AR268" s="7"/>
      <c r="AS268" s="7"/>
      <c r="AT268" s="7"/>
      <c r="AU268" s="7"/>
      <c r="AV268" s="7"/>
      <c r="AW268" s="7">
        <v>3300</v>
      </c>
      <c r="AX268" s="7">
        <v>3300</v>
      </c>
      <c r="AY268" s="7"/>
      <c r="AZ268" s="7"/>
      <c r="BA268" s="7"/>
      <c r="BB268" s="7"/>
      <c r="BC268" s="7"/>
      <c r="BD268" s="7"/>
      <c r="BE268" s="7"/>
      <c r="BF268" s="7"/>
      <c r="BG268" s="7"/>
      <c r="BH268" s="7">
        <v>4200</v>
      </c>
      <c r="BI268" s="7">
        <v>1100</v>
      </c>
      <c r="BJ268" s="7"/>
      <c r="BK268" s="7">
        <v>1100</v>
      </c>
      <c r="BL268" s="7"/>
      <c r="BM268" s="7"/>
      <c r="BN268" s="7"/>
      <c r="BO268" s="7"/>
      <c r="BP268" s="7"/>
      <c r="BQ268" s="7"/>
      <c r="BR268" s="7"/>
      <c r="BS268" s="7"/>
      <c r="BT268" s="7"/>
      <c r="BU268" s="7"/>
      <c r="BV268" s="7"/>
      <c r="BW268" s="8">
        <v>45659</v>
      </c>
      <c r="BX268" s="2"/>
      <c r="BY268" s="2" t="s">
        <v>1800</v>
      </c>
      <c r="BZ268" s="2"/>
      <c r="CA268" s="14">
        <f t="shared" si="30"/>
        <v>31800</v>
      </c>
      <c r="CB268" s="2" t="str">
        <f t="shared" si="31"/>
        <v>OK</v>
      </c>
      <c r="CC268" s="13">
        <f t="shared" si="32"/>
        <v>0</v>
      </c>
    </row>
    <row r="269" spans="1:81" s="9" customFormat="1" ht="107.25" customHeight="1" x14ac:dyDescent="0.25">
      <c r="A269" s="2" t="s">
        <v>1415</v>
      </c>
      <c r="B269" s="2" t="s">
        <v>719</v>
      </c>
      <c r="C269" s="2" t="s">
        <v>715</v>
      </c>
      <c r="D269" s="12" t="s">
        <v>1845</v>
      </c>
      <c r="E269" s="2"/>
      <c r="F269" s="2" t="s">
        <v>65</v>
      </c>
      <c r="G269" s="2" t="s">
        <v>2033</v>
      </c>
      <c r="H269" s="2" t="s">
        <v>66</v>
      </c>
      <c r="I269" s="2" t="s">
        <v>686</v>
      </c>
      <c r="J269" s="2" t="s">
        <v>1618</v>
      </c>
      <c r="K269" s="2" t="s">
        <v>67</v>
      </c>
      <c r="L269" s="22">
        <v>20800</v>
      </c>
      <c r="M269" s="22">
        <v>20800</v>
      </c>
      <c r="N269" s="2" t="s">
        <v>1808</v>
      </c>
      <c r="O269" s="7"/>
      <c r="P269" s="7"/>
      <c r="Q269" s="7"/>
      <c r="R269" s="7"/>
      <c r="S269" s="7"/>
      <c r="T269" s="7"/>
      <c r="U269" s="7"/>
      <c r="V269" s="7"/>
      <c r="W269" s="7"/>
      <c r="X269" s="7"/>
      <c r="Y269" s="7">
        <v>7100</v>
      </c>
      <c r="Z269" s="7">
        <v>3300</v>
      </c>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v>10400</v>
      </c>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8">
        <v>45659</v>
      </c>
      <c r="BX269" s="2"/>
      <c r="BY269" s="2" t="s">
        <v>1798</v>
      </c>
      <c r="BZ269" s="2"/>
      <c r="CA269" s="14">
        <f t="shared" si="30"/>
        <v>20800</v>
      </c>
      <c r="CB269" s="2" t="str">
        <f t="shared" si="31"/>
        <v>OK</v>
      </c>
      <c r="CC269" s="13">
        <f t="shared" si="32"/>
        <v>0</v>
      </c>
    </row>
    <row r="270" spans="1:81" s="9" customFormat="1" ht="120" customHeight="1" x14ac:dyDescent="0.25">
      <c r="A270" s="2" t="s">
        <v>1426</v>
      </c>
      <c r="B270" s="2" t="s">
        <v>726</v>
      </c>
      <c r="C270" s="2" t="s">
        <v>715</v>
      </c>
      <c r="D270" s="12" t="s">
        <v>1846</v>
      </c>
      <c r="E270" s="2"/>
      <c r="F270" s="2" t="s">
        <v>65</v>
      </c>
      <c r="G270" s="2" t="s">
        <v>2033</v>
      </c>
      <c r="H270" s="2" t="s">
        <v>66</v>
      </c>
      <c r="I270" s="2" t="s">
        <v>686</v>
      </c>
      <c r="J270" s="2" t="s">
        <v>1618</v>
      </c>
      <c r="K270" s="2" t="s">
        <v>67</v>
      </c>
      <c r="L270" s="22">
        <v>20600</v>
      </c>
      <c r="M270" s="22">
        <v>20600</v>
      </c>
      <c r="N270" s="2" t="s">
        <v>1808</v>
      </c>
      <c r="O270" s="7"/>
      <c r="P270" s="7"/>
      <c r="Q270" s="7"/>
      <c r="R270" s="7"/>
      <c r="S270" s="7"/>
      <c r="T270" s="7"/>
      <c r="U270" s="7"/>
      <c r="V270" s="7"/>
      <c r="W270" s="7"/>
      <c r="X270" s="7"/>
      <c r="Y270" s="7"/>
      <c r="Z270" s="7">
        <v>4600</v>
      </c>
      <c r="AA270" s="7"/>
      <c r="AB270" s="7"/>
      <c r="AC270" s="7"/>
      <c r="AD270" s="7"/>
      <c r="AE270" s="7"/>
      <c r="AF270" s="7"/>
      <c r="AG270" s="7"/>
      <c r="AH270" s="7"/>
      <c r="AI270" s="7"/>
      <c r="AJ270" s="7"/>
      <c r="AK270" s="7"/>
      <c r="AL270" s="7"/>
      <c r="AM270" s="7"/>
      <c r="AN270" s="7"/>
      <c r="AO270" s="7"/>
      <c r="AP270" s="7"/>
      <c r="AQ270" s="7"/>
      <c r="AR270" s="7"/>
      <c r="AS270" s="7"/>
      <c r="AT270" s="7"/>
      <c r="AU270" s="7"/>
      <c r="AV270" s="7"/>
      <c r="AW270" s="7">
        <v>5500</v>
      </c>
      <c r="AX270" s="7"/>
      <c r="AY270" s="7"/>
      <c r="AZ270" s="7"/>
      <c r="BA270" s="7"/>
      <c r="BB270" s="7"/>
      <c r="BC270" s="7"/>
      <c r="BD270" s="7"/>
      <c r="BE270" s="7"/>
      <c r="BF270" s="7"/>
      <c r="BG270" s="7"/>
      <c r="BH270" s="7">
        <v>10500</v>
      </c>
      <c r="BI270" s="7"/>
      <c r="BJ270" s="7"/>
      <c r="BK270" s="7"/>
      <c r="BL270" s="7"/>
      <c r="BM270" s="7"/>
      <c r="BN270" s="7"/>
      <c r="BO270" s="7"/>
      <c r="BP270" s="7"/>
      <c r="BQ270" s="7"/>
      <c r="BR270" s="7"/>
      <c r="BS270" s="7"/>
      <c r="BT270" s="7"/>
      <c r="BU270" s="7"/>
      <c r="BV270" s="7"/>
      <c r="BW270" s="8">
        <v>45659</v>
      </c>
      <c r="BX270" s="2"/>
      <c r="BY270" s="2" t="s">
        <v>1800</v>
      </c>
      <c r="BZ270" s="2"/>
      <c r="CA270" s="14">
        <f t="shared" si="30"/>
        <v>20600</v>
      </c>
      <c r="CB270" s="2" t="str">
        <f t="shared" si="31"/>
        <v>OK</v>
      </c>
      <c r="CC270" s="13">
        <f t="shared" si="32"/>
        <v>0</v>
      </c>
    </row>
    <row r="271" spans="1:81" s="9" customFormat="1" ht="114" customHeight="1" x14ac:dyDescent="0.25">
      <c r="A271" s="2" t="s">
        <v>1517</v>
      </c>
      <c r="B271" s="2" t="s">
        <v>714</v>
      </c>
      <c r="C271" s="2" t="s">
        <v>715</v>
      </c>
      <c r="D271" s="12" t="s">
        <v>1847</v>
      </c>
      <c r="E271" s="2"/>
      <c r="F271" s="2" t="s">
        <v>65</v>
      </c>
      <c r="G271" s="2" t="s">
        <v>2033</v>
      </c>
      <c r="H271" s="2" t="s">
        <v>66</v>
      </c>
      <c r="I271" s="2" t="s">
        <v>2174</v>
      </c>
      <c r="J271" s="2" t="s">
        <v>1618</v>
      </c>
      <c r="K271" s="2" t="s">
        <v>67</v>
      </c>
      <c r="L271" s="22">
        <v>19200</v>
      </c>
      <c r="M271" s="22">
        <v>19200</v>
      </c>
      <c r="N271" s="2" t="s">
        <v>1808</v>
      </c>
      <c r="O271" s="7"/>
      <c r="P271" s="7"/>
      <c r="Q271" s="7"/>
      <c r="R271" s="7"/>
      <c r="S271" s="7"/>
      <c r="T271" s="7"/>
      <c r="U271" s="7"/>
      <c r="V271" s="7">
        <v>1100</v>
      </c>
      <c r="W271" s="7"/>
      <c r="X271" s="7"/>
      <c r="Y271" s="7">
        <v>1100</v>
      </c>
      <c r="Z271" s="7">
        <v>6200</v>
      </c>
      <c r="AA271" s="7"/>
      <c r="AB271" s="7"/>
      <c r="AC271" s="7"/>
      <c r="AD271" s="7"/>
      <c r="AE271" s="7"/>
      <c r="AF271" s="7"/>
      <c r="AG271" s="7"/>
      <c r="AH271" s="7"/>
      <c r="AI271" s="7"/>
      <c r="AJ271" s="7"/>
      <c r="AK271" s="7"/>
      <c r="AL271" s="7"/>
      <c r="AM271" s="7"/>
      <c r="AN271" s="7"/>
      <c r="AO271" s="7"/>
      <c r="AP271" s="7"/>
      <c r="AQ271" s="7"/>
      <c r="AR271" s="7"/>
      <c r="AS271" s="7"/>
      <c r="AT271" s="7"/>
      <c r="AU271" s="7"/>
      <c r="AV271" s="7"/>
      <c r="AW271" s="7">
        <v>2200</v>
      </c>
      <c r="AX271" s="7">
        <v>3300</v>
      </c>
      <c r="AY271" s="7"/>
      <c r="AZ271" s="7"/>
      <c r="BA271" s="7"/>
      <c r="BB271" s="7"/>
      <c r="BC271" s="7"/>
      <c r="BD271" s="7"/>
      <c r="BE271" s="7"/>
      <c r="BF271" s="7"/>
      <c r="BG271" s="7"/>
      <c r="BH271" s="7">
        <v>3100</v>
      </c>
      <c r="BI271" s="7">
        <v>1100</v>
      </c>
      <c r="BJ271" s="7"/>
      <c r="BK271" s="7">
        <v>1100</v>
      </c>
      <c r="BL271" s="7"/>
      <c r="BM271" s="7"/>
      <c r="BN271" s="7"/>
      <c r="BO271" s="7"/>
      <c r="BP271" s="7"/>
      <c r="BQ271" s="7"/>
      <c r="BR271" s="7"/>
      <c r="BS271" s="7"/>
      <c r="BT271" s="7"/>
      <c r="BU271" s="7"/>
      <c r="BV271" s="7"/>
      <c r="BW271" s="8">
        <v>45659</v>
      </c>
      <c r="BX271" s="2"/>
      <c r="BY271" s="2" t="s">
        <v>1798</v>
      </c>
      <c r="BZ271" s="2"/>
      <c r="CA271" s="14">
        <f t="shared" si="30"/>
        <v>19200</v>
      </c>
      <c r="CB271" s="2" t="str">
        <f t="shared" si="31"/>
        <v>OK</v>
      </c>
      <c r="CC271" s="13">
        <f t="shared" si="32"/>
        <v>0</v>
      </c>
    </row>
    <row r="272" spans="1:81" s="9" customFormat="1" ht="107.25" customHeight="1" x14ac:dyDescent="0.25">
      <c r="A272" s="2" t="s">
        <v>1608</v>
      </c>
      <c r="B272" s="2" t="s">
        <v>730</v>
      </c>
      <c r="C272" s="2" t="s">
        <v>715</v>
      </c>
      <c r="D272" s="12" t="s">
        <v>1848</v>
      </c>
      <c r="E272" s="2"/>
      <c r="F272" s="2" t="s">
        <v>65</v>
      </c>
      <c r="G272" s="2" t="s">
        <v>2033</v>
      </c>
      <c r="H272" s="2" t="s">
        <v>66</v>
      </c>
      <c r="I272" s="2" t="s">
        <v>686</v>
      </c>
      <c r="J272" s="2" t="s">
        <v>1618</v>
      </c>
      <c r="K272" s="2" t="s">
        <v>67</v>
      </c>
      <c r="L272" s="22">
        <v>4400</v>
      </c>
      <c r="M272" s="22">
        <v>4400</v>
      </c>
      <c r="N272" s="2" t="s">
        <v>1808</v>
      </c>
      <c r="O272" s="7"/>
      <c r="P272" s="7"/>
      <c r="Q272" s="7"/>
      <c r="R272" s="7"/>
      <c r="S272" s="7"/>
      <c r="T272" s="7"/>
      <c r="U272" s="7"/>
      <c r="V272" s="7"/>
      <c r="W272" s="7"/>
      <c r="X272" s="7"/>
      <c r="Y272" s="7">
        <v>1100</v>
      </c>
      <c r="Z272" s="7">
        <v>1100</v>
      </c>
      <c r="AA272" s="7"/>
      <c r="AB272" s="7"/>
      <c r="AC272" s="7"/>
      <c r="AD272" s="7"/>
      <c r="AE272" s="7"/>
      <c r="AF272" s="7"/>
      <c r="AG272" s="7"/>
      <c r="AH272" s="7"/>
      <c r="AI272" s="7"/>
      <c r="AJ272" s="7"/>
      <c r="AK272" s="7"/>
      <c r="AL272" s="7"/>
      <c r="AM272" s="7"/>
      <c r="AN272" s="7"/>
      <c r="AO272" s="7"/>
      <c r="AP272" s="7"/>
      <c r="AQ272" s="7"/>
      <c r="AR272" s="7"/>
      <c r="AS272" s="7"/>
      <c r="AT272" s="7"/>
      <c r="AU272" s="7"/>
      <c r="AV272" s="7"/>
      <c r="AW272" s="7">
        <v>1100</v>
      </c>
      <c r="AX272" s="7"/>
      <c r="AY272" s="7"/>
      <c r="AZ272" s="7"/>
      <c r="BA272" s="7"/>
      <c r="BB272" s="7"/>
      <c r="BC272" s="7"/>
      <c r="BD272" s="7"/>
      <c r="BE272" s="7"/>
      <c r="BF272" s="7"/>
      <c r="BG272" s="7"/>
      <c r="BH272" s="7">
        <v>1100</v>
      </c>
      <c r="BI272" s="7"/>
      <c r="BJ272" s="7"/>
      <c r="BK272" s="7"/>
      <c r="BL272" s="7"/>
      <c r="BM272" s="7"/>
      <c r="BN272" s="7"/>
      <c r="BO272" s="7"/>
      <c r="BP272" s="7"/>
      <c r="BQ272" s="7"/>
      <c r="BR272" s="7"/>
      <c r="BS272" s="7"/>
      <c r="BT272" s="7"/>
      <c r="BU272" s="7"/>
      <c r="BV272" s="7"/>
      <c r="BW272" s="8">
        <v>45659</v>
      </c>
      <c r="BX272" s="2"/>
      <c r="BY272" s="2" t="s">
        <v>1800</v>
      </c>
      <c r="BZ272" s="2"/>
      <c r="CA272" s="14">
        <f t="shared" si="30"/>
        <v>4400</v>
      </c>
      <c r="CB272" s="2" t="str">
        <f t="shared" si="31"/>
        <v>OK</v>
      </c>
      <c r="CC272" s="13">
        <f t="shared" si="32"/>
        <v>0</v>
      </c>
    </row>
    <row r="273" spans="1:82" s="9" customFormat="1" ht="66.75" customHeight="1" x14ac:dyDescent="0.25">
      <c r="A273" s="64" t="s">
        <v>2001</v>
      </c>
      <c r="B273" s="64" t="s">
        <v>2082</v>
      </c>
      <c r="C273" s="64" t="s">
        <v>342</v>
      </c>
      <c r="D273" s="65" t="s">
        <v>362</v>
      </c>
      <c r="E273" s="2"/>
      <c r="F273" s="64" t="s">
        <v>72</v>
      </c>
      <c r="G273" s="64" t="s">
        <v>2034</v>
      </c>
      <c r="H273" s="64" t="s">
        <v>66</v>
      </c>
      <c r="I273" s="64" t="s">
        <v>686</v>
      </c>
      <c r="J273" s="64" t="s">
        <v>1618</v>
      </c>
      <c r="K273" s="64" t="s">
        <v>67</v>
      </c>
      <c r="L273" s="66">
        <v>26323294.920000002</v>
      </c>
      <c r="M273" s="66">
        <v>4063426.34</v>
      </c>
      <c r="N273" s="64" t="s">
        <v>2013</v>
      </c>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67">
        <v>45960</v>
      </c>
      <c r="BX273" s="2"/>
      <c r="BY273" s="67" t="s">
        <v>1799</v>
      </c>
      <c r="BZ273" s="8"/>
      <c r="CA273" s="14">
        <f t="shared" si="30"/>
        <v>0</v>
      </c>
      <c r="CB273" s="2" t="str">
        <f t="shared" si="31"/>
        <v>CORRIGIR</v>
      </c>
      <c r="CC273" s="13">
        <f t="shared" si="32"/>
        <v>4063426.34</v>
      </c>
    </row>
    <row r="274" spans="1:82" s="9" customFormat="1" ht="84" customHeight="1" x14ac:dyDescent="0.25">
      <c r="A274" s="64" t="s">
        <v>2079</v>
      </c>
      <c r="B274" s="64" t="s">
        <v>2080</v>
      </c>
      <c r="C274" s="64" t="s">
        <v>342</v>
      </c>
      <c r="D274" s="65" t="s">
        <v>607</v>
      </c>
      <c r="E274" s="2"/>
      <c r="F274" s="64" t="s">
        <v>2081</v>
      </c>
      <c r="G274" s="64" t="s">
        <v>2034</v>
      </c>
      <c r="H274" s="64" t="s">
        <v>66</v>
      </c>
      <c r="I274" s="64" t="s">
        <v>686</v>
      </c>
      <c r="J274" s="64" t="s">
        <v>1618</v>
      </c>
      <c r="K274" s="64" t="s">
        <v>67</v>
      </c>
      <c r="L274" s="66">
        <v>5429970</v>
      </c>
      <c r="M274" s="66">
        <v>260632.5</v>
      </c>
      <c r="N274" s="64" t="s">
        <v>2013</v>
      </c>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67">
        <v>45960</v>
      </c>
      <c r="BX274" s="2"/>
      <c r="BY274" s="91" t="s">
        <v>1800</v>
      </c>
      <c r="BZ274" s="8"/>
      <c r="CA274" s="14"/>
      <c r="CB274" s="2"/>
      <c r="CC274" s="13"/>
    </row>
    <row r="275" spans="1:82" s="9" customFormat="1" ht="86.25" customHeight="1" x14ac:dyDescent="0.25">
      <c r="A275" s="64" t="s">
        <v>2109</v>
      </c>
      <c r="B275" s="64" t="s">
        <v>2111</v>
      </c>
      <c r="C275" s="64" t="s">
        <v>342</v>
      </c>
      <c r="D275" s="65" t="s">
        <v>2110</v>
      </c>
      <c r="E275" s="2"/>
      <c r="F275" s="64" t="s">
        <v>1691</v>
      </c>
      <c r="G275" s="64" t="s">
        <v>2019</v>
      </c>
      <c r="H275" s="64" t="s">
        <v>66</v>
      </c>
      <c r="I275" s="64" t="s">
        <v>5</v>
      </c>
      <c r="J275" s="81">
        <v>1209</v>
      </c>
      <c r="K275" s="64" t="s">
        <v>384</v>
      </c>
      <c r="L275" s="66">
        <v>2176804.5</v>
      </c>
      <c r="M275" s="66">
        <v>900250</v>
      </c>
      <c r="N275" s="64" t="s">
        <v>2133</v>
      </c>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67">
        <v>45989</v>
      </c>
      <c r="BX275" s="2"/>
      <c r="BY275" s="64" t="s">
        <v>1799</v>
      </c>
      <c r="BZ275" s="1"/>
      <c r="CA275" s="14"/>
      <c r="CB275" s="2"/>
      <c r="CC275" s="13"/>
    </row>
    <row r="276" spans="1:82" s="9" customFormat="1" ht="73.5" customHeight="1" x14ac:dyDescent="0.25">
      <c r="A276" s="64" t="s">
        <v>2112</v>
      </c>
      <c r="B276" s="64" t="s">
        <v>2113</v>
      </c>
      <c r="C276" s="64" t="s">
        <v>342</v>
      </c>
      <c r="D276" s="65" t="s">
        <v>2114</v>
      </c>
      <c r="E276" s="2"/>
      <c r="F276" s="64" t="s">
        <v>1691</v>
      </c>
      <c r="G276" s="64" t="s">
        <v>1659</v>
      </c>
      <c r="H276" s="64" t="s">
        <v>66</v>
      </c>
      <c r="I276" s="64" t="s">
        <v>1618</v>
      </c>
      <c r="J276" s="64" t="s">
        <v>1614</v>
      </c>
      <c r="K276" s="64" t="s">
        <v>67</v>
      </c>
      <c r="L276" s="66">
        <v>42190730</v>
      </c>
      <c r="M276" s="66">
        <v>42190730</v>
      </c>
      <c r="N276" s="64" t="s">
        <v>2115</v>
      </c>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67">
        <v>45992</v>
      </c>
      <c r="BX276" s="2"/>
      <c r="BY276" s="83" t="s">
        <v>1801</v>
      </c>
      <c r="BZ276" s="2"/>
      <c r="CA276" s="14"/>
      <c r="CB276" s="2"/>
      <c r="CC276" s="13"/>
    </row>
    <row r="277" spans="1:82" s="9" customFormat="1" ht="71.25" customHeight="1" x14ac:dyDescent="0.25">
      <c r="A277" s="64" t="s">
        <v>2068</v>
      </c>
      <c r="B277" s="64" t="s">
        <v>2069</v>
      </c>
      <c r="C277" s="64" t="s">
        <v>681</v>
      </c>
      <c r="D277" s="65" t="s">
        <v>2070</v>
      </c>
      <c r="E277" s="2"/>
      <c r="F277" s="64" t="s">
        <v>1694</v>
      </c>
      <c r="G277" s="64" t="s">
        <v>2032</v>
      </c>
      <c r="H277" s="64" t="s">
        <v>66</v>
      </c>
      <c r="I277" s="64" t="s">
        <v>686</v>
      </c>
      <c r="J277" s="64" t="s">
        <v>1618</v>
      </c>
      <c r="K277" s="64" t="s">
        <v>67</v>
      </c>
      <c r="L277" s="66">
        <v>3279100</v>
      </c>
      <c r="M277" s="66">
        <v>3279100</v>
      </c>
      <c r="N277" s="64" t="s">
        <v>2071</v>
      </c>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67">
        <v>45877</v>
      </c>
      <c r="BX277" s="2"/>
      <c r="BY277" s="67" t="s">
        <v>2072</v>
      </c>
      <c r="BZ277" s="8"/>
      <c r="CA277" s="14"/>
      <c r="CB277" s="2"/>
      <c r="CC277" s="13"/>
    </row>
    <row r="278" spans="1:82" s="9" customFormat="1" ht="153.75" customHeight="1" x14ac:dyDescent="0.25">
      <c r="A278" s="2" t="s">
        <v>1417</v>
      </c>
      <c r="B278" s="2" t="s">
        <v>1106</v>
      </c>
      <c r="C278" s="2" t="s">
        <v>681</v>
      </c>
      <c r="D278" s="12" t="s">
        <v>1107</v>
      </c>
      <c r="E278" s="2"/>
      <c r="F278" s="2" t="s">
        <v>1691</v>
      </c>
      <c r="G278" s="2" t="s">
        <v>2032</v>
      </c>
      <c r="H278" s="2" t="s">
        <v>66</v>
      </c>
      <c r="I278" s="15" t="s">
        <v>1618</v>
      </c>
      <c r="J278" s="15" t="s">
        <v>1618</v>
      </c>
      <c r="K278" s="2" t="s">
        <v>67</v>
      </c>
      <c r="L278" s="22">
        <v>1581562.94</v>
      </c>
      <c r="M278" s="22">
        <v>790781.47</v>
      </c>
      <c r="N278" s="2" t="s">
        <v>1142</v>
      </c>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v>158156.29</v>
      </c>
      <c r="AR278" s="7"/>
      <c r="AS278" s="7"/>
      <c r="AT278" s="7"/>
      <c r="AU278" s="7"/>
      <c r="AV278" s="7"/>
      <c r="AW278" s="7"/>
      <c r="AX278" s="7"/>
      <c r="AY278" s="7"/>
      <c r="AZ278" s="7"/>
      <c r="BA278" s="7">
        <f>26359.38+52718.77</f>
        <v>79078.149999999994</v>
      </c>
      <c r="BB278" s="7"/>
      <c r="BC278" s="7"/>
      <c r="BD278" s="7"/>
      <c r="BE278" s="7"/>
      <c r="BF278" s="7"/>
      <c r="BG278" s="7"/>
      <c r="BH278" s="7"/>
      <c r="BI278" s="7"/>
      <c r="BJ278" s="7"/>
      <c r="BK278" s="7"/>
      <c r="BL278" s="7">
        <f>94893.78+142340.66</f>
        <v>237234.44</v>
      </c>
      <c r="BM278" s="7"/>
      <c r="BN278" s="7"/>
      <c r="BO278" s="7"/>
      <c r="BP278" s="7"/>
      <c r="BQ278" s="7"/>
      <c r="BR278" s="7"/>
      <c r="BS278" s="7"/>
      <c r="BT278" s="7"/>
      <c r="BU278" s="7"/>
      <c r="BV278" s="7">
        <v>316312.59000000003</v>
      </c>
      <c r="BW278" s="8">
        <v>45930</v>
      </c>
      <c r="BX278" s="15"/>
      <c r="BY278" s="15" t="s">
        <v>1799</v>
      </c>
      <c r="BZ278" s="8" t="s">
        <v>1767</v>
      </c>
      <c r="CA278" s="14">
        <f t="shared" ref="CA278:CA320" si="33">SUM(O278:BV278)</f>
        <v>790781.47</v>
      </c>
      <c r="CB278" s="2" t="str">
        <f t="shared" ref="CB278:CB320" si="34">IF(M278=CA278,"OK","CORRIGIR")</f>
        <v>OK</v>
      </c>
      <c r="CC278" s="13">
        <f t="shared" ref="CC278:CC320" si="35">M278-CA278</f>
        <v>0</v>
      </c>
    </row>
    <row r="279" spans="1:82" s="9" customFormat="1" ht="104.25" customHeight="1" x14ac:dyDescent="0.25">
      <c r="A279" s="64" t="s">
        <v>1211</v>
      </c>
      <c r="B279" s="64" t="s">
        <v>320</v>
      </c>
      <c r="C279" s="64" t="s">
        <v>274</v>
      </c>
      <c r="D279" s="65" t="s">
        <v>1947</v>
      </c>
      <c r="E279" s="2"/>
      <c r="F279" s="64" t="s">
        <v>65</v>
      </c>
      <c r="G279" s="64" t="s">
        <v>2036</v>
      </c>
      <c r="H279" s="64" t="s">
        <v>66</v>
      </c>
      <c r="I279" s="64" t="s">
        <v>5</v>
      </c>
      <c r="J279" s="81">
        <v>2010</v>
      </c>
      <c r="K279" s="64" t="s">
        <v>67</v>
      </c>
      <c r="L279" s="66">
        <f>10405510.69+30901593.46</f>
        <v>41307104.149999999</v>
      </c>
      <c r="M279" s="66">
        <f>5405510.69+6156225.32</f>
        <v>11561736.010000002</v>
      </c>
      <c r="N279" s="64" t="s">
        <v>282</v>
      </c>
      <c r="O279" s="7">
        <v>0</v>
      </c>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v>5405510.6900000004</v>
      </c>
      <c r="BO279" s="7"/>
      <c r="BP279" s="7"/>
      <c r="BQ279" s="7"/>
      <c r="BR279" s="7"/>
      <c r="BS279" s="7"/>
      <c r="BT279" s="7"/>
      <c r="BU279" s="7"/>
      <c r="BV279" s="7"/>
      <c r="BW279" s="67">
        <v>45747</v>
      </c>
      <c r="BX279" s="2"/>
      <c r="BY279" s="64" t="s">
        <v>1798</v>
      </c>
      <c r="BZ279" s="8"/>
      <c r="CA279" s="14">
        <f t="shared" si="33"/>
        <v>5405510.6900000004</v>
      </c>
      <c r="CB279" s="2" t="str">
        <f t="shared" si="34"/>
        <v>CORRIGIR</v>
      </c>
      <c r="CC279" s="13">
        <f t="shared" si="35"/>
        <v>6156225.3200000012</v>
      </c>
    </row>
    <row r="280" spans="1:82" s="9" customFormat="1" ht="120" customHeight="1" x14ac:dyDescent="0.25">
      <c r="A280" s="64" t="s">
        <v>1216</v>
      </c>
      <c r="B280" s="64" t="s">
        <v>316</v>
      </c>
      <c r="C280" s="64" t="s">
        <v>274</v>
      </c>
      <c r="D280" s="65" t="s">
        <v>1966</v>
      </c>
      <c r="E280" s="2"/>
      <c r="F280" s="64" t="s">
        <v>65</v>
      </c>
      <c r="G280" s="64" t="s">
        <v>2036</v>
      </c>
      <c r="H280" s="64" t="s">
        <v>66</v>
      </c>
      <c r="I280" s="64" t="s">
        <v>5</v>
      </c>
      <c r="J280" s="81">
        <v>1845</v>
      </c>
      <c r="K280" s="64" t="s">
        <v>67</v>
      </c>
      <c r="L280" s="66">
        <f>4029751.15+25034368.46</f>
        <v>29064119.609999999</v>
      </c>
      <c r="M280" s="66">
        <f>2029751.15+14069789.7</f>
        <v>16099540.85</v>
      </c>
      <c r="N280" s="64" t="s">
        <v>282</v>
      </c>
      <c r="O280" s="7">
        <v>0</v>
      </c>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v>2029751.15</v>
      </c>
      <c r="BO280" s="7"/>
      <c r="BP280" s="7"/>
      <c r="BQ280" s="7"/>
      <c r="BR280" s="7"/>
      <c r="BS280" s="7"/>
      <c r="BT280" s="7"/>
      <c r="BU280" s="7"/>
      <c r="BV280" s="7"/>
      <c r="BW280" s="67">
        <v>45747</v>
      </c>
      <c r="BX280" s="2"/>
      <c r="BY280" s="64" t="s">
        <v>1800</v>
      </c>
      <c r="BZ280" s="2"/>
      <c r="CA280" s="14">
        <f t="shared" si="33"/>
        <v>2029751.15</v>
      </c>
      <c r="CB280" s="2" t="str">
        <f t="shared" si="34"/>
        <v>CORRIGIR</v>
      </c>
      <c r="CC280" s="13">
        <f t="shared" si="35"/>
        <v>14069789.699999999</v>
      </c>
    </row>
    <row r="281" spans="1:82" s="9" customFormat="1" ht="110.1" customHeight="1" x14ac:dyDescent="0.25">
      <c r="A281" s="64" t="s">
        <v>1553</v>
      </c>
      <c r="B281" s="64" t="s">
        <v>314</v>
      </c>
      <c r="C281" s="64" t="s">
        <v>274</v>
      </c>
      <c r="D281" s="65" t="s">
        <v>1967</v>
      </c>
      <c r="E281" s="2"/>
      <c r="F281" s="64" t="s">
        <v>65</v>
      </c>
      <c r="G281" s="64" t="s">
        <v>2036</v>
      </c>
      <c r="H281" s="64" t="s">
        <v>66</v>
      </c>
      <c r="I281" s="64" t="s">
        <v>5</v>
      </c>
      <c r="J281" s="64">
        <v>240</v>
      </c>
      <c r="K281" s="64" t="s">
        <v>67</v>
      </c>
      <c r="L281" s="66">
        <f>644833+3527327</f>
        <v>4172160</v>
      </c>
      <c r="M281" s="66">
        <f>170046.4+2176793.6</f>
        <v>2346840</v>
      </c>
      <c r="N281" s="64" t="s">
        <v>282</v>
      </c>
      <c r="O281" s="7">
        <v>0</v>
      </c>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v>170046.4</v>
      </c>
      <c r="BO281" s="7"/>
      <c r="BP281" s="7"/>
      <c r="BQ281" s="7"/>
      <c r="BR281" s="7"/>
      <c r="BS281" s="7"/>
      <c r="BT281" s="7"/>
      <c r="BU281" s="7"/>
      <c r="BV281" s="7"/>
      <c r="BW281" s="67">
        <v>45747</v>
      </c>
      <c r="BX281" s="2"/>
      <c r="BY281" s="64" t="s">
        <v>1798</v>
      </c>
      <c r="BZ281" s="2" t="s">
        <v>1779</v>
      </c>
      <c r="CA281" s="14">
        <f t="shared" si="33"/>
        <v>170046.4</v>
      </c>
      <c r="CB281" s="2" t="str">
        <f t="shared" si="34"/>
        <v>CORRIGIR</v>
      </c>
      <c r="CC281" s="13">
        <f t="shared" si="35"/>
        <v>2176793.6000000001</v>
      </c>
    </row>
    <row r="282" spans="1:82" s="9" customFormat="1" ht="120" hidden="1" customHeight="1" x14ac:dyDescent="0.25">
      <c r="A282" s="2" t="s">
        <v>1427</v>
      </c>
      <c r="B282" s="3" t="s">
        <v>1120</v>
      </c>
      <c r="C282" s="3" t="s">
        <v>681</v>
      </c>
      <c r="D282" s="34" t="s">
        <v>958</v>
      </c>
      <c r="E282" s="3" t="s">
        <v>1121</v>
      </c>
      <c r="F282" s="2" t="s">
        <v>65</v>
      </c>
      <c r="G282" s="2" t="s">
        <v>2038</v>
      </c>
      <c r="H282" s="2" t="s">
        <v>66</v>
      </c>
      <c r="I282" s="2"/>
      <c r="J282" s="2"/>
      <c r="K282" s="2" t="s">
        <v>67</v>
      </c>
      <c r="L282" s="17">
        <v>485487.84</v>
      </c>
      <c r="M282" s="17">
        <v>485487.84</v>
      </c>
      <c r="N282" s="3" t="s">
        <v>1141</v>
      </c>
      <c r="O282" s="7"/>
      <c r="P282" s="7"/>
      <c r="Q282" s="7"/>
      <c r="R282" s="7"/>
      <c r="S282" s="7"/>
      <c r="T282" s="7"/>
      <c r="U282" s="7"/>
      <c r="V282" s="7"/>
      <c r="W282" s="7"/>
      <c r="X282" s="7"/>
      <c r="Y282" s="7"/>
      <c r="Z282" s="7"/>
      <c r="AA282" s="7"/>
      <c r="AB282" s="7"/>
      <c r="AC282" s="7"/>
      <c r="AD282" s="7"/>
      <c r="AE282" s="7"/>
      <c r="AF282" s="7"/>
      <c r="AG282" s="7">
        <v>194195.13</v>
      </c>
      <c r="AH282" s="7">
        <v>291292.71000000002</v>
      </c>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8">
        <v>45659</v>
      </c>
      <c r="BX282" s="2"/>
      <c r="BY282" s="2"/>
      <c r="BZ282" s="2"/>
      <c r="CA282" s="14">
        <f t="shared" si="33"/>
        <v>485487.84</v>
      </c>
      <c r="CB282" s="2" t="str">
        <f t="shared" si="34"/>
        <v>OK</v>
      </c>
      <c r="CC282" s="13">
        <f t="shared" si="35"/>
        <v>0</v>
      </c>
    </row>
    <row r="283" spans="1:82" s="9" customFormat="1" ht="110.1" hidden="1" customHeight="1" x14ac:dyDescent="0.25">
      <c r="A283" s="2" t="s">
        <v>1520</v>
      </c>
      <c r="B283" s="2" t="s">
        <v>762</v>
      </c>
      <c r="C283" s="2" t="s">
        <v>681</v>
      </c>
      <c r="D283" s="12" t="s">
        <v>763</v>
      </c>
      <c r="E283" s="2"/>
      <c r="F283" s="2" t="s">
        <v>65</v>
      </c>
      <c r="G283" s="2" t="s">
        <v>2038</v>
      </c>
      <c r="H283" s="2" t="s">
        <v>66</v>
      </c>
      <c r="I283" s="2" t="s">
        <v>686</v>
      </c>
      <c r="J283" s="2" t="s">
        <v>1618</v>
      </c>
      <c r="K283" s="2" t="s">
        <v>67</v>
      </c>
      <c r="L283" s="22">
        <v>9703.51</v>
      </c>
      <c r="M283" s="22">
        <v>9703.51</v>
      </c>
      <c r="N283" s="2" t="s">
        <v>1140</v>
      </c>
      <c r="O283" s="7">
        <v>0</v>
      </c>
      <c r="P283" s="7"/>
      <c r="Q283" s="7"/>
      <c r="R283" s="7"/>
      <c r="S283" s="7"/>
      <c r="T283" s="7"/>
      <c r="U283" s="7"/>
      <c r="V283" s="7"/>
      <c r="W283" s="7"/>
      <c r="X283" s="7"/>
      <c r="Y283" s="7"/>
      <c r="Z283" s="7"/>
      <c r="AA283" s="7"/>
      <c r="AB283" s="7"/>
      <c r="AC283" s="7"/>
      <c r="AD283" s="7"/>
      <c r="AE283" s="7"/>
      <c r="AF283" s="7"/>
      <c r="AG283" s="7">
        <f>9703.51/2</f>
        <v>4851.7550000000001</v>
      </c>
      <c r="AH283" s="7">
        <f>9703.51/2</f>
        <v>4851.7550000000001</v>
      </c>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2"/>
      <c r="BX283" s="8">
        <v>45496</v>
      </c>
      <c r="BY283" s="8"/>
      <c r="BZ283" s="2" t="s">
        <v>1770</v>
      </c>
      <c r="CA283" s="14">
        <f t="shared" si="33"/>
        <v>9703.51</v>
      </c>
      <c r="CB283" s="2" t="str">
        <f t="shared" si="34"/>
        <v>OK</v>
      </c>
      <c r="CC283" s="13">
        <f t="shared" si="35"/>
        <v>0</v>
      </c>
    </row>
    <row r="284" spans="1:82" s="9" customFormat="1" ht="85.5" hidden="1" customHeight="1" x14ac:dyDescent="0.25">
      <c r="A284" s="2" t="s">
        <v>1442</v>
      </c>
      <c r="B284" s="2" t="s">
        <v>803</v>
      </c>
      <c r="C284" s="2" t="s">
        <v>681</v>
      </c>
      <c r="D284" s="12" t="s">
        <v>804</v>
      </c>
      <c r="E284" s="2"/>
      <c r="F284" s="2" t="s">
        <v>65</v>
      </c>
      <c r="G284" s="2" t="s">
        <v>2038</v>
      </c>
      <c r="H284" s="2" t="s">
        <v>66</v>
      </c>
      <c r="I284" s="2" t="s">
        <v>686</v>
      </c>
      <c r="J284" s="2" t="s">
        <v>1618</v>
      </c>
      <c r="K284" s="2" t="s">
        <v>67</v>
      </c>
      <c r="L284" s="22">
        <v>221665.87</v>
      </c>
      <c r="M284" s="22">
        <v>221665.87</v>
      </c>
      <c r="N284" s="2" t="s">
        <v>1140</v>
      </c>
      <c r="O284" s="7">
        <v>0</v>
      </c>
      <c r="P284" s="7"/>
      <c r="Q284" s="7"/>
      <c r="R284" s="7"/>
      <c r="S284" s="7"/>
      <c r="T284" s="7"/>
      <c r="U284" s="7"/>
      <c r="V284" s="7"/>
      <c r="W284" s="7"/>
      <c r="X284" s="7"/>
      <c r="Y284" s="7"/>
      <c r="Z284" s="7"/>
      <c r="AA284" s="7"/>
      <c r="AB284" s="7"/>
      <c r="AC284" s="7"/>
      <c r="AD284" s="7"/>
      <c r="AE284" s="7"/>
      <c r="AF284" s="7"/>
      <c r="AG284" s="7">
        <v>110832.93</v>
      </c>
      <c r="AH284" s="7">
        <v>110832.94</v>
      </c>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2"/>
      <c r="BX284" s="8">
        <v>45504</v>
      </c>
      <c r="BY284" s="8"/>
      <c r="BZ284" s="8"/>
      <c r="CA284" s="14">
        <f t="shared" si="33"/>
        <v>221665.87</v>
      </c>
      <c r="CB284" s="2" t="str">
        <f t="shared" si="34"/>
        <v>OK</v>
      </c>
      <c r="CC284" s="13">
        <f t="shared" si="35"/>
        <v>0</v>
      </c>
    </row>
    <row r="285" spans="1:82" s="9" customFormat="1" ht="110.1" hidden="1" customHeight="1" x14ac:dyDescent="0.25">
      <c r="A285" s="2" t="s">
        <v>1456</v>
      </c>
      <c r="B285" s="2" t="s">
        <v>969</v>
      </c>
      <c r="C285" s="2" t="s">
        <v>681</v>
      </c>
      <c r="D285" s="12" t="s">
        <v>1644</v>
      </c>
      <c r="E285" s="2" t="s">
        <v>970</v>
      </c>
      <c r="F285" s="2" t="s">
        <v>65</v>
      </c>
      <c r="G285" s="2" t="s">
        <v>2038</v>
      </c>
      <c r="H285" s="2" t="s">
        <v>66</v>
      </c>
      <c r="I285" s="2" t="s">
        <v>686</v>
      </c>
      <c r="J285" s="2" t="s">
        <v>1618</v>
      </c>
      <c r="K285" s="2" t="s">
        <v>67</v>
      </c>
      <c r="L285" s="22">
        <v>117241.65</v>
      </c>
      <c r="M285" s="22">
        <v>117241.65</v>
      </c>
      <c r="N285" s="2" t="s">
        <v>1141</v>
      </c>
      <c r="O285" s="7"/>
      <c r="P285" s="7"/>
      <c r="Q285" s="7"/>
      <c r="R285" s="7"/>
      <c r="S285" s="7"/>
      <c r="T285" s="7"/>
      <c r="U285" s="7"/>
      <c r="V285" s="7"/>
      <c r="W285" s="7"/>
      <c r="X285" s="7"/>
      <c r="Y285" s="7"/>
      <c r="Z285" s="7"/>
      <c r="AA285" s="7"/>
      <c r="AB285" s="7"/>
      <c r="AC285" s="7"/>
      <c r="AD285" s="7"/>
      <c r="AE285" s="7"/>
      <c r="AF285" s="7"/>
      <c r="AG285" s="7">
        <v>102912.12</v>
      </c>
      <c r="AH285" s="7">
        <v>14329.53</v>
      </c>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2"/>
      <c r="BX285" s="8">
        <v>46022</v>
      </c>
      <c r="BY285" s="8"/>
      <c r="BZ285" s="8"/>
      <c r="CA285" s="14">
        <f t="shared" si="33"/>
        <v>117241.65</v>
      </c>
      <c r="CB285" s="2" t="str">
        <f t="shared" si="34"/>
        <v>OK</v>
      </c>
      <c r="CC285" s="13">
        <f t="shared" si="35"/>
        <v>0</v>
      </c>
    </row>
    <row r="286" spans="1:82" s="9" customFormat="1" ht="120" hidden="1" customHeight="1" x14ac:dyDescent="0.25">
      <c r="A286" s="2" t="s">
        <v>1469</v>
      </c>
      <c r="B286" s="2" t="s">
        <v>813</v>
      </c>
      <c r="C286" s="2" t="s">
        <v>681</v>
      </c>
      <c r="D286" s="12" t="s">
        <v>814</v>
      </c>
      <c r="E286" s="2"/>
      <c r="F286" s="2" t="s">
        <v>65</v>
      </c>
      <c r="G286" s="2" t="s">
        <v>2038</v>
      </c>
      <c r="H286" s="2" t="s">
        <v>66</v>
      </c>
      <c r="I286" s="2" t="s">
        <v>686</v>
      </c>
      <c r="J286" s="2" t="s">
        <v>1618</v>
      </c>
      <c r="K286" s="2" t="s">
        <v>67</v>
      </c>
      <c r="L286" s="22">
        <v>100288.21</v>
      </c>
      <c r="M286" s="22">
        <v>100288.21</v>
      </c>
      <c r="N286" s="2" t="s">
        <v>1140</v>
      </c>
      <c r="O286" s="7">
        <v>0</v>
      </c>
      <c r="P286" s="7"/>
      <c r="Q286" s="7"/>
      <c r="R286" s="7"/>
      <c r="S286" s="7"/>
      <c r="T286" s="7"/>
      <c r="U286" s="7"/>
      <c r="V286" s="7"/>
      <c r="W286" s="7"/>
      <c r="X286" s="7"/>
      <c r="Y286" s="7"/>
      <c r="Z286" s="7"/>
      <c r="AA286" s="7"/>
      <c r="AB286" s="7"/>
      <c r="AC286" s="7"/>
      <c r="AD286" s="7"/>
      <c r="AE286" s="7"/>
      <c r="AF286" s="7"/>
      <c r="AG286" s="7">
        <v>50144.1</v>
      </c>
      <c r="AH286" s="7">
        <v>50144.11</v>
      </c>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2"/>
      <c r="BX286" s="8">
        <v>46022</v>
      </c>
      <c r="BY286" s="8"/>
      <c r="BZ286" s="2"/>
      <c r="CA286" s="14">
        <f t="shared" si="33"/>
        <v>100288.20999999999</v>
      </c>
      <c r="CB286" s="2" t="str">
        <f t="shared" si="34"/>
        <v>OK</v>
      </c>
      <c r="CC286" s="13">
        <f t="shared" si="35"/>
        <v>0</v>
      </c>
    </row>
    <row r="287" spans="1:82" s="9" customFormat="1" ht="110.1" hidden="1" customHeight="1" x14ac:dyDescent="0.25">
      <c r="A287" s="2" t="s">
        <v>1472</v>
      </c>
      <c r="B287" s="2" t="s">
        <v>955</v>
      </c>
      <c r="C287" s="2" t="s">
        <v>681</v>
      </c>
      <c r="D287" s="12" t="s">
        <v>1645</v>
      </c>
      <c r="E287" s="2" t="s">
        <v>956</v>
      </c>
      <c r="F287" s="2" t="s">
        <v>65</v>
      </c>
      <c r="G287" s="2" t="s">
        <v>2038</v>
      </c>
      <c r="H287" s="2" t="s">
        <v>66</v>
      </c>
      <c r="I287" s="2" t="s">
        <v>686</v>
      </c>
      <c r="J287" s="2" t="s">
        <v>1618</v>
      </c>
      <c r="K287" s="2" t="s">
        <v>67</v>
      </c>
      <c r="L287" s="22">
        <v>72950.36</v>
      </c>
      <c r="M287" s="22">
        <v>72950.36</v>
      </c>
      <c r="N287" s="2" t="s">
        <v>1141</v>
      </c>
      <c r="O287" s="7"/>
      <c r="P287" s="7"/>
      <c r="Q287" s="7"/>
      <c r="R287" s="7"/>
      <c r="S287" s="7"/>
      <c r="T287" s="7"/>
      <c r="U287" s="7"/>
      <c r="V287" s="7"/>
      <c r="W287" s="7"/>
      <c r="X287" s="7"/>
      <c r="Y287" s="7"/>
      <c r="Z287" s="7"/>
      <c r="AA287" s="7"/>
      <c r="AB287" s="7"/>
      <c r="AC287" s="7"/>
      <c r="AD287" s="7"/>
      <c r="AE287" s="7"/>
      <c r="AF287" s="7"/>
      <c r="AG287" s="7">
        <f>15632.22</f>
        <v>15632.22</v>
      </c>
      <c r="AH287" s="7">
        <v>57318.14</v>
      </c>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2"/>
      <c r="BX287" s="8">
        <v>46022</v>
      </c>
      <c r="BY287" s="8"/>
      <c r="BZ287" s="2" t="s">
        <v>1780</v>
      </c>
      <c r="CA287" s="14">
        <f t="shared" si="33"/>
        <v>72950.36</v>
      </c>
      <c r="CB287" s="2" t="str">
        <f t="shared" si="34"/>
        <v>OK</v>
      </c>
      <c r="CC287" s="13">
        <f t="shared" si="35"/>
        <v>0</v>
      </c>
    </row>
    <row r="288" spans="1:82" s="9" customFormat="1" ht="120" hidden="1" customHeight="1" x14ac:dyDescent="0.25">
      <c r="A288" s="2" t="s">
        <v>1473</v>
      </c>
      <c r="B288" s="2" t="s">
        <v>815</v>
      </c>
      <c r="C288" s="2" t="s">
        <v>681</v>
      </c>
      <c r="D288" s="12" t="s">
        <v>816</v>
      </c>
      <c r="E288" s="2"/>
      <c r="F288" s="2" t="s">
        <v>65</v>
      </c>
      <c r="G288" s="2" t="s">
        <v>2038</v>
      </c>
      <c r="H288" s="2" t="s">
        <v>66</v>
      </c>
      <c r="I288" s="2" t="s">
        <v>686</v>
      </c>
      <c r="J288" s="2" t="s">
        <v>1618</v>
      </c>
      <c r="K288" s="2" t="s">
        <v>67</v>
      </c>
      <c r="L288" s="22">
        <v>66037.5</v>
      </c>
      <c r="M288" s="22">
        <v>66037.5</v>
      </c>
      <c r="N288" s="2" t="s">
        <v>1140</v>
      </c>
      <c r="O288" s="7">
        <v>0</v>
      </c>
      <c r="P288" s="7"/>
      <c r="Q288" s="7"/>
      <c r="R288" s="7"/>
      <c r="S288" s="7"/>
      <c r="T288" s="7"/>
      <c r="U288" s="7"/>
      <c r="V288" s="7"/>
      <c r="W288" s="7"/>
      <c r="X288" s="7"/>
      <c r="Y288" s="7"/>
      <c r="Z288" s="7"/>
      <c r="AA288" s="7">
        <v>5000</v>
      </c>
      <c r="AB288" s="7"/>
      <c r="AC288" s="7"/>
      <c r="AD288" s="7"/>
      <c r="AE288" s="7"/>
      <c r="AF288" s="7"/>
      <c r="AG288" s="7">
        <v>30518.75</v>
      </c>
      <c r="AH288" s="7">
        <v>30518.75</v>
      </c>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2"/>
      <c r="BX288" s="8">
        <v>46022</v>
      </c>
      <c r="BY288" s="8"/>
      <c r="BZ288" s="2"/>
      <c r="CA288" s="14">
        <f t="shared" si="33"/>
        <v>66037.5</v>
      </c>
      <c r="CB288" s="2" t="str">
        <f t="shared" si="34"/>
        <v>OK</v>
      </c>
      <c r="CC288" s="13">
        <f t="shared" si="35"/>
        <v>0</v>
      </c>
      <c r="CD288" s="9" t="s">
        <v>1811</v>
      </c>
    </row>
    <row r="289" spans="1:81" s="9" customFormat="1" ht="111" hidden="1" customHeight="1" x14ac:dyDescent="0.25">
      <c r="A289" s="2" t="s">
        <v>1478</v>
      </c>
      <c r="B289" s="2" t="s">
        <v>984</v>
      </c>
      <c r="C289" s="2" t="s">
        <v>681</v>
      </c>
      <c r="D289" s="12" t="s">
        <v>1646</v>
      </c>
      <c r="E289" s="2" t="s">
        <v>985</v>
      </c>
      <c r="F289" s="2" t="s">
        <v>65</v>
      </c>
      <c r="G289" s="2" t="s">
        <v>2038</v>
      </c>
      <c r="H289" s="2" t="s">
        <v>66</v>
      </c>
      <c r="I289" s="2" t="s">
        <v>686</v>
      </c>
      <c r="J289" s="2" t="s">
        <v>1618</v>
      </c>
      <c r="K289" s="2" t="s">
        <v>67</v>
      </c>
      <c r="L289" s="22">
        <v>54712.77</v>
      </c>
      <c r="M289" s="22">
        <v>54712.77</v>
      </c>
      <c r="N289" s="2" t="s">
        <v>1141</v>
      </c>
      <c r="O289" s="7"/>
      <c r="P289" s="7"/>
      <c r="Q289" s="7"/>
      <c r="R289" s="7"/>
      <c r="S289" s="7"/>
      <c r="T289" s="7"/>
      <c r="U289" s="7"/>
      <c r="V289" s="7"/>
      <c r="W289" s="7"/>
      <c r="X289" s="7"/>
      <c r="Y289" s="7"/>
      <c r="Z289" s="7"/>
      <c r="AA289" s="7"/>
      <c r="AB289" s="7"/>
      <c r="AC289" s="7"/>
      <c r="AD289" s="7"/>
      <c r="AE289" s="7"/>
      <c r="AF289" s="7"/>
      <c r="AG289" s="7">
        <v>27356.38</v>
      </c>
      <c r="AH289" s="7">
        <v>27356.39</v>
      </c>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2"/>
      <c r="BX289" s="8">
        <v>46022</v>
      </c>
      <c r="BY289" s="8"/>
      <c r="BZ289" s="2"/>
      <c r="CA289" s="14">
        <f t="shared" si="33"/>
        <v>54712.770000000004</v>
      </c>
      <c r="CB289" s="2" t="str">
        <f t="shared" si="34"/>
        <v>OK</v>
      </c>
      <c r="CC289" s="13">
        <f t="shared" si="35"/>
        <v>0</v>
      </c>
    </row>
    <row r="290" spans="1:81" s="9" customFormat="1" ht="99" hidden="1" customHeight="1" x14ac:dyDescent="0.25">
      <c r="A290" s="2" t="s">
        <v>1481</v>
      </c>
      <c r="B290" s="2" t="s">
        <v>950</v>
      </c>
      <c r="C290" s="2" t="s">
        <v>681</v>
      </c>
      <c r="D290" s="12" t="s">
        <v>1647</v>
      </c>
      <c r="E290" s="2" t="s">
        <v>951</v>
      </c>
      <c r="F290" s="2" t="s">
        <v>65</v>
      </c>
      <c r="G290" s="2" t="s">
        <v>2038</v>
      </c>
      <c r="H290" s="2" t="s">
        <v>66</v>
      </c>
      <c r="I290" s="2" t="s">
        <v>686</v>
      </c>
      <c r="J290" s="2" t="s">
        <v>1618</v>
      </c>
      <c r="K290" s="2" t="s">
        <v>67</v>
      </c>
      <c r="L290" s="22">
        <v>49502.03</v>
      </c>
      <c r="M290" s="22">
        <v>49502.03</v>
      </c>
      <c r="N290" s="2" t="s">
        <v>1141</v>
      </c>
      <c r="O290" s="7"/>
      <c r="P290" s="7"/>
      <c r="Q290" s="7"/>
      <c r="R290" s="7"/>
      <c r="S290" s="7"/>
      <c r="T290" s="7"/>
      <c r="U290" s="7"/>
      <c r="V290" s="7"/>
      <c r="W290" s="7"/>
      <c r="X290" s="7"/>
      <c r="Y290" s="7"/>
      <c r="Z290" s="7"/>
      <c r="AA290" s="7"/>
      <c r="AB290" s="7"/>
      <c r="AC290" s="7"/>
      <c r="AD290" s="7"/>
      <c r="AE290" s="7"/>
      <c r="AF290" s="7"/>
      <c r="AG290" s="7">
        <v>15231.39</v>
      </c>
      <c r="AH290" s="7">
        <v>34270.639999999999</v>
      </c>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2"/>
      <c r="BX290" s="8">
        <v>46022</v>
      </c>
      <c r="BY290" s="8"/>
      <c r="BZ290" s="2"/>
      <c r="CA290" s="14">
        <f t="shared" si="33"/>
        <v>49502.03</v>
      </c>
      <c r="CB290" s="2" t="str">
        <f t="shared" si="34"/>
        <v>OK</v>
      </c>
      <c r="CC290" s="13">
        <f t="shared" si="35"/>
        <v>0</v>
      </c>
    </row>
    <row r="291" spans="1:81" s="9" customFormat="1" ht="102" hidden="1" customHeight="1" x14ac:dyDescent="0.25">
      <c r="A291" s="2" t="s">
        <v>1486</v>
      </c>
      <c r="B291" s="2" t="s">
        <v>982</v>
      </c>
      <c r="C291" s="2" t="s">
        <v>681</v>
      </c>
      <c r="D291" s="12" t="s">
        <v>1648</v>
      </c>
      <c r="E291" s="2" t="s">
        <v>983</v>
      </c>
      <c r="F291" s="2" t="s">
        <v>65</v>
      </c>
      <c r="G291" s="2" t="s">
        <v>2038</v>
      </c>
      <c r="H291" s="2" t="s">
        <v>66</v>
      </c>
      <c r="I291" s="2" t="s">
        <v>686</v>
      </c>
      <c r="J291" s="2" t="s">
        <v>1618</v>
      </c>
      <c r="K291" s="2" t="s">
        <v>67</v>
      </c>
      <c r="L291" s="22">
        <v>39080.550000000003</v>
      </c>
      <c r="M291" s="22">
        <v>39080.550000000003</v>
      </c>
      <c r="N291" s="2" t="s">
        <v>49</v>
      </c>
      <c r="O291" s="7"/>
      <c r="P291" s="7"/>
      <c r="Q291" s="7"/>
      <c r="R291" s="7"/>
      <c r="S291" s="7"/>
      <c r="T291" s="7"/>
      <c r="U291" s="7"/>
      <c r="V291" s="7"/>
      <c r="W291" s="7"/>
      <c r="X291" s="7"/>
      <c r="Y291" s="7"/>
      <c r="Z291" s="7"/>
      <c r="AA291" s="7"/>
      <c r="AB291" s="7"/>
      <c r="AC291" s="7"/>
      <c r="AD291" s="7"/>
      <c r="AE291" s="7"/>
      <c r="AF291" s="7"/>
      <c r="AG291" s="7">
        <v>0</v>
      </c>
      <c r="AH291" s="7">
        <v>39080.550000000003</v>
      </c>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2"/>
      <c r="BX291" s="8">
        <v>46022</v>
      </c>
      <c r="BY291" s="8"/>
      <c r="BZ291" s="2"/>
      <c r="CA291" s="14">
        <f t="shared" si="33"/>
        <v>39080.550000000003</v>
      </c>
      <c r="CB291" s="2" t="str">
        <f t="shared" si="34"/>
        <v>OK</v>
      </c>
      <c r="CC291" s="13">
        <f t="shared" si="35"/>
        <v>0</v>
      </c>
    </row>
    <row r="292" spans="1:81" s="9" customFormat="1" ht="107.25" hidden="1" customHeight="1" x14ac:dyDescent="0.25">
      <c r="A292" s="2" t="s">
        <v>1489</v>
      </c>
      <c r="B292" s="2" t="s">
        <v>973</v>
      </c>
      <c r="C292" s="2" t="s">
        <v>681</v>
      </c>
      <c r="D292" s="12" t="s">
        <v>1649</v>
      </c>
      <c r="E292" s="2" t="s">
        <v>974</v>
      </c>
      <c r="F292" s="2" t="s">
        <v>65</v>
      </c>
      <c r="G292" s="2" t="s">
        <v>2038</v>
      </c>
      <c r="H292" s="2" t="s">
        <v>66</v>
      </c>
      <c r="I292" s="2" t="s">
        <v>686</v>
      </c>
      <c r="J292" s="2" t="s">
        <v>1618</v>
      </c>
      <c r="K292" s="2" t="s">
        <v>67</v>
      </c>
      <c r="L292" s="22">
        <v>31264.44</v>
      </c>
      <c r="M292" s="22">
        <v>31264.44</v>
      </c>
      <c r="N292" s="2" t="s">
        <v>49</v>
      </c>
      <c r="O292" s="7"/>
      <c r="P292" s="7"/>
      <c r="Q292" s="7"/>
      <c r="R292" s="7"/>
      <c r="S292" s="7"/>
      <c r="T292" s="7"/>
      <c r="U292" s="7"/>
      <c r="V292" s="7"/>
      <c r="W292" s="7"/>
      <c r="X292" s="7"/>
      <c r="Y292" s="7"/>
      <c r="Z292" s="7"/>
      <c r="AA292" s="7"/>
      <c r="AB292" s="7"/>
      <c r="AC292" s="7"/>
      <c r="AD292" s="7"/>
      <c r="AE292" s="7"/>
      <c r="AF292" s="7"/>
      <c r="AG292" s="7">
        <v>0</v>
      </c>
      <c r="AH292" s="7">
        <v>31264.44</v>
      </c>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2"/>
      <c r="BX292" s="8">
        <v>46022</v>
      </c>
      <c r="BY292" s="8"/>
      <c r="BZ292" s="2"/>
      <c r="CA292" s="14">
        <f t="shared" si="33"/>
        <v>31264.44</v>
      </c>
      <c r="CB292" s="2" t="str">
        <f t="shared" si="34"/>
        <v>OK</v>
      </c>
      <c r="CC292" s="13">
        <f t="shared" si="35"/>
        <v>0</v>
      </c>
    </row>
    <row r="293" spans="1:81" s="9" customFormat="1" ht="104.25" hidden="1" customHeight="1" x14ac:dyDescent="0.25">
      <c r="A293" s="2" t="s">
        <v>1491</v>
      </c>
      <c r="B293" s="2" t="s">
        <v>807</v>
      </c>
      <c r="C293" s="2" t="s">
        <v>681</v>
      </c>
      <c r="D293" s="12" t="s">
        <v>808</v>
      </c>
      <c r="E293" s="2"/>
      <c r="F293" s="2" t="s">
        <v>65</v>
      </c>
      <c r="G293" s="2" t="s">
        <v>2038</v>
      </c>
      <c r="H293" s="2" t="s">
        <v>66</v>
      </c>
      <c r="I293" s="2" t="s">
        <v>686</v>
      </c>
      <c r="J293" s="2" t="s">
        <v>1618</v>
      </c>
      <c r="K293" s="2" t="s">
        <v>67</v>
      </c>
      <c r="L293" s="22">
        <v>30027.45</v>
      </c>
      <c r="M293" s="22">
        <v>30027.45</v>
      </c>
      <c r="N293" s="2" t="s">
        <v>1140</v>
      </c>
      <c r="O293" s="7">
        <v>0</v>
      </c>
      <c r="P293" s="7"/>
      <c r="Q293" s="7"/>
      <c r="R293" s="7"/>
      <c r="S293" s="7"/>
      <c r="T293" s="7"/>
      <c r="U293" s="7"/>
      <c r="V293" s="7"/>
      <c r="W293" s="7"/>
      <c r="X293" s="7"/>
      <c r="Y293" s="7"/>
      <c r="Z293" s="7"/>
      <c r="AA293" s="7"/>
      <c r="AB293" s="7"/>
      <c r="AC293" s="7"/>
      <c r="AD293" s="7"/>
      <c r="AE293" s="7"/>
      <c r="AF293" s="7"/>
      <c r="AG293" s="7">
        <f>30027.46/2</f>
        <v>15013.73</v>
      </c>
      <c r="AH293" s="7">
        <f>30027.46/2</f>
        <v>15013.73</v>
      </c>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2"/>
      <c r="BX293" s="8">
        <v>46022</v>
      </c>
      <c r="BY293" s="8"/>
      <c r="BZ293" s="8" t="s">
        <v>1733</v>
      </c>
      <c r="CA293" s="14">
        <f t="shared" si="33"/>
        <v>30027.46</v>
      </c>
      <c r="CB293" s="2" t="str">
        <f t="shared" si="34"/>
        <v>CORRIGIR</v>
      </c>
      <c r="CC293" s="13">
        <f t="shared" si="35"/>
        <v>-9.9999999983992893E-3</v>
      </c>
    </row>
    <row r="294" spans="1:81" s="9" customFormat="1" ht="107.25" hidden="1" customHeight="1" x14ac:dyDescent="0.25">
      <c r="A294" s="2" t="s">
        <v>1502</v>
      </c>
      <c r="B294" s="2" t="s">
        <v>971</v>
      </c>
      <c r="C294" s="2" t="s">
        <v>681</v>
      </c>
      <c r="D294" s="12" t="s">
        <v>1650</v>
      </c>
      <c r="E294" s="2" t="s">
        <v>972</v>
      </c>
      <c r="F294" s="2" t="s">
        <v>65</v>
      </c>
      <c r="G294" s="2" t="s">
        <v>2038</v>
      </c>
      <c r="H294" s="2" t="s">
        <v>66</v>
      </c>
      <c r="I294" s="2" t="s">
        <v>686</v>
      </c>
      <c r="J294" s="2" t="s">
        <v>1618</v>
      </c>
      <c r="K294" s="2" t="s">
        <v>67</v>
      </c>
      <c r="L294" s="22">
        <v>18237.59</v>
      </c>
      <c r="M294" s="22">
        <v>18237.59</v>
      </c>
      <c r="N294" s="2" t="s">
        <v>49</v>
      </c>
      <c r="O294" s="7"/>
      <c r="P294" s="7"/>
      <c r="Q294" s="7"/>
      <c r="R294" s="7"/>
      <c r="S294" s="7"/>
      <c r="T294" s="7"/>
      <c r="U294" s="7"/>
      <c r="V294" s="7"/>
      <c r="W294" s="7"/>
      <c r="X294" s="7"/>
      <c r="Y294" s="7"/>
      <c r="Z294" s="7"/>
      <c r="AA294" s="7"/>
      <c r="AB294" s="7"/>
      <c r="AC294" s="7"/>
      <c r="AD294" s="7"/>
      <c r="AE294" s="7"/>
      <c r="AF294" s="7"/>
      <c r="AG294" s="7">
        <v>0</v>
      </c>
      <c r="AH294" s="7">
        <v>18237.59</v>
      </c>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2"/>
      <c r="BX294" s="8">
        <v>46022</v>
      </c>
      <c r="BY294" s="8"/>
      <c r="BZ294" s="2"/>
      <c r="CA294" s="14">
        <f t="shared" si="33"/>
        <v>18237.59</v>
      </c>
      <c r="CB294" s="2" t="str">
        <f t="shared" si="34"/>
        <v>OK</v>
      </c>
      <c r="CC294" s="13">
        <f t="shared" si="35"/>
        <v>0</v>
      </c>
    </row>
    <row r="295" spans="1:81" s="9" customFormat="1" ht="100.5" hidden="1" customHeight="1" x14ac:dyDescent="0.25">
      <c r="A295" s="2" t="s">
        <v>1503</v>
      </c>
      <c r="B295" s="2" t="s">
        <v>997</v>
      </c>
      <c r="C295" s="2" t="s">
        <v>681</v>
      </c>
      <c r="D295" s="12" t="s">
        <v>1651</v>
      </c>
      <c r="E295" s="2" t="s">
        <v>998</v>
      </c>
      <c r="F295" s="2" t="s">
        <v>65</v>
      </c>
      <c r="G295" s="2" t="s">
        <v>2038</v>
      </c>
      <c r="H295" s="2" t="s">
        <v>66</v>
      </c>
      <c r="I295" s="2" t="s">
        <v>686</v>
      </c>
      <c r="J295" s="2" t="s">
        <v>1618</v>
      </c>
      <c r="K295" s="2" t="s">
        <v>67</v>
      </c>
      <c r="L295" s="22">
        <v>18237.59</v>
      </c>
      <c r="M295" s="22">
        <v>18237.59</v>
      </c>
      <c r="N295" s="2" t="s">
        <v>49</v>
      </c>
      <c r="O295" s="7">
        <v>0</v>
      </c>
      <c r="P295" s="7"/>
      <c r="Q295" s="7"/>
      <c r="R295" s="7"/>
      <c r="S295" s="7"/>
      <c r="T295" s="7"/>
      <c r="U295" s="7"/>
      <c r="V295" s="7">
        <v>18237.59</v>
      </c>
      <c r="W295" s="7"/>
      <c r="X295" s="7"/>
      <c r="Y295" s="7"/>
      <c r="Z295" s="7"/>
      <c r="AA295" s="7"/>
      <c r="AB295" s="7"/>
      <c r="AC295" s="7"/>
      <c r="AD295" s="7"/>
      <c r="AE295" s="7"/>
      <c r="AF295" s="7"/>
      <c r="AG295" s="7"/>
      <c r="AH295" s="7">
        <v>0</v>
      </c>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2"/>
      <c r="BX295" s="8">
        <v>46022</v>
      </c>
      <c r="BY295" s="8"/>
      <c r="BZ295" s="2"/>
      <c r="CA295" s="14">
        <f t="shared" si="33"/>
        <v>18237.59</v>
      </c>
      <c r="CB295" s="2" t="str">
        <f t="shared" si="34"/>
        <v>OK</v>
      </c>
      <c r="CC295" s="13">
        <f t="shared" si="35"/>
        <v>0</v>
      </c>
    </row>
    <row r="296" spans="1:81" s="9" customFormat="1" ht="22.5" hidden="1" customHeight="1" x14ac:dyDescent="0.25">
      <c r="A296" s="2" t="s">
        <v>1505</v>
      </c>
      <c r="B296" s="2" t="s">
        <v>967</v>
      </c>
      <c r="C296" s="2" t="s">
        <v>681</v>
      </c>
      <c r="D296" s="12" t="s">
        <v>1652</v>
      </c>
      <c r="E296" s="2" t="s">
        <v>968</v>
      </c>
      <c r="F296" s="2" t="s">
        <v>65</v>
      </c>
      <c r="G296" s="2" t="s">
        <v>2038</v>
      </c>
      <c r="H296" s="2" t="s">
        <v>66</v>
      </c>
      <c r="I296" s="2" t="s">
        <v>686</v>
      </c>
      <c r="J296" s="2" t="s">
        <v>1618</v>
      </c>
      <c r="K296" s="2" t="s">
        <v>67</v>
      </c>
      <c r="L296" s="22">
        <v>15632.22</v>
      </c>
      <c r="M296" s="22">
        <v>15632.22</v>
      </c>
      <c r="N296" s="2" t="s">
        <v>1141</v>
      </c>
      <c r="O296" s="7"/>
      <c r="P296" s="7"/>
      <c r="Q296" s="7"/>
      <c r="R296" s="7"/>
      <c r="S296" s="7"/>
      <c r="T296" s="7"/>
      <c r="U296" s="7"/>
      <c r="V296" s="7"/>
      <c r="W296" s="7"/>
      <c r="X296" s="7"/>
      <c r="Y296" s="7"/>
      <c r="Z296" s="7"/>
      <c r="AA296" s="7"/>
      <c r="AB296" s="7"/>
      <c r="AC296" s="7"/>
      <c r="AD296" s="7"/>
      <c r="AE296" s="7"/>
      <c r="AF296" s="7"/>
      <c r="AG296" s="7">
        <v>7816.11</v>
      </c>
      <c r="AH296" s="7">
        <v>7816.11</v>
      </c>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2"/>
      <c r="BX296" s="8">
        <v>46022</v>
      </c>
      <c r="BY296" s="8"/>
      <c r="BZ296" s="2"/>
      <c r="CA296" s="14">
        <f t="shared" si="33"/>
        <v>15632.22</v>
      </c>
      <c r="CB296" s="2" t="str">
        <f t="shared" si="34"/>
        <v>OK</v>
      </c>
      <c r="CC296" s="13">
        <f t="shared" si="35"/>
        <v>0</v>
      </c>
    </row>
    <row r="297" spans="1:81" s="9" customFormat="1" ht="110.25" hidden="1" customHeight="1" x14ac:dyDescent="0.25">
      <c r="A297" s="2" t="s">
        <v>1506</v>
      </c>
      <c r="B297" s="2" t="s">
        <v>980</v>
      </c>
      <c r="C297" s="2" t="s">
        <v>681</v>
      </c>
      <c r="D297" s="12" t="s">
        <v>1653</v>
      </c>
      <c r="E297" s="2" t="s">
        <v>981</v>
      </c>
      <c r="F297" s="2" t="s">
        <v>65</v>
      </c>
      <c r="G297" s="2" t="s">
        <v>2038</v>
      </c>
      <c r="H297" s="2" t="s">
        <v>66</v>
      </c>
      <c r="I297" s="2" t="s">
        <v>686</v>
      </c>
      <c r="J297" s="2" t="s">
        <v>1618</v>
      </c>
      <c r="K297" s="2" t="s">
        <v>67</v>
      </c>
      <c r="L297" s="22">
        <v>15632.22</v>
      </c>
      <c r="M297" s="22">
        <v>15632.22</v>
      </c>
      <c r="N297" s="2" t="s">
        <v>49</v>
      </c>
      <c r="O297" s="7"/>
      <c r="P297" s="7"/>
      <c r="Q297" s="7"/>
      <c r="R297" s="7"/>
      <c r="S297" s="7"/>
      <c r="T297" s="7"/>
      <c r="U297" s="7"/>
      <c r="V297" s="7">
        <v>0</v>
      </c>
      <c r="W297" s="7"/>
      <c r="X297" s="7"/>
      <c r="Y297" s="7"/>
      <c r="Z297" s="7"/>
      <c r="AA297" s="7"/>
      <c r="AB297" s="7"/>
      <c r="AC297" s="7"/>
      <c r="AD297" s="7"/>
      <c r="AE297" s="7"/>
      <c r="AF297" s="7"/>
      <c r="AG297" s="7"/>
      <c r="AH297" s="7">
        <v>15632.22</v>
      </c>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2"/>
      <c r="BX297" s="8">
        <v>46022</v>
      </c>
      <c r="BY297" s="8"/>
      <c r="BZ297" s="2"/>
      <c r="CA297" s="14">
        <f t="shared" si="33"/>
        <v>15632.22</v>
      </c>
      <c r="CB297" s="2" t="str">
        <f t="shared" si="34"/>
        <v>OK</v>
      </c>
      <c r="CC297" s="13">
        <f t="shared" si="35"/>
        <v>0</v>
      </c>
    </row>
    <row r="298" spans="1:81" s="9" customFormat="1" ht="95.25" hidden="1" customHeight="1" x14ac:dyDescent="0.25">
      <c r="A298" s="2" t="s">
        <v>1509</v>
      </c>
      <c r="B298" s="2" t="s">
        <v>779</v>
      </c>
      <c r="C298" s="2" t="s">
        <v>681</v>
      </c>
      <c r="D298" s="12" t="s">
        <v>780</v>
      </c>
      <c r="E298" s="2"/>
      <c r="F298" s="2" t="s">
        <v>65</v>
      </c>
      <c r="G298" s="2" t="s">
        <v>2038</v>
      </c>
      <c r="H298" s="2" t="s">
        <v>66</v>
      </c>
      <c r="I298" s="2" t="s">
        <v>686</v>
      </c>
      <c r="J298" s="2" t="s">
        <v>1618</v>
      </c>
      <c r="K298" s="2" t="s">
        <v>67</v>
      </c>
      <c r="L298" s="22">
        <v>14908.61</v>
      </c>
      <c r="M298" s="22">
        <v>14908.61</v>
      </c>
      <c r="N298" s="2" t="s">
        <v>1140</v>
      </c>
      <c r="O298" s="7">
        <v>0</v>
      </c>
      <c r="P298" s="7"/>
      <c r="Q298" s="7"/>
      <c r="R298" s="7"/>
      <c r="S298" s="7"/>
      <c r="T298" s="7"/>
      <c r="U298" s="7"/>
      <c r="V298" s="7"/>
      <c r="W298" s="7"/>
      <c r="X298" s="7"/>
      <c r="Y298" s="7"/>
      <c r="Z298" s="7"/>
      <c r="AA298" s="7"/>
      <c r="AB298" s="7"/>
      <c r="AC298" s="7"/>
      <c r="AD298" s="7"/>
      <c r="AE298" s="7"/>
      <c r="AF298" s="7"/>
      <c r="AG298" s="7">
        <v>7454.31</v>
      </c>
      <c r="AH298" s="7">
        <v>7454.3</v>
      </c>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2"/>
      <c r="BX298" s="8">
        <v>46022</v>
      </c>
      <c r="BY298" s="8"/>
      <c r="BZ298" s="2"/>
      <c r="CA298" s="14">
        <f t="shared" si="33"/>
        <v>14908.61</v>
      </c>
      <c r="CB298" s="2" t="str">
        <f t="shared" si="34"/>
        <v>OK</v>
      </c>
      <c r="CC298" s="13">
        <f t="shared" si="35"/>
        <v>0</v>
      </c>
    </row>
    <row r="299" spans="1:81" s="9" customFormat="1" ht="105.75" hidden="1" customHeight="1" x14ac:dyDescent="0.25">
      <c r="A299" s="2" t="s">
        <v>1510</v>
      </c>
      <c r="B299" s="2" t="s">
        <v>758</v>
      </c>
      <c r="C299" s="2" t="s">
        <v>681</v>
      </c>
      <c r="D299" s="12" t="s">
        <v>759</v>
      </c>
      <c r="E299" s="2"/>
      <c r="F299" s="2" t="s">
        <v>65</v>
      </c>
      <c r="G299" s="2" t="s">
        <v>2038</v>
      </c>
      <c r="H299" s="2" t="s">
        <v>66</v>
      </c>
      <c r="I299" s="2" t="s">
        <v>686</v>
      </c>
      <c r="J299" s="2" t="s">
        <v>1618</v>
      </c>
      <c r="K299" s="2" t="s">
        <v>67</v>
      </c>
      <c r="L299" s="22">
        <v>13775.39</v>
      </c>
      <c r="M299" s="22">
        <v>13775.39</v>
      </c>
      <c r="N299" s="2" t="s">
        <v>1140</v>
      </c>
      <c r="O299" s="7">
        <v>0</v>
      </c>
      <c r="P299" s="7"/>
      <c r="Q299" s="7"/>
      <c r="R299" s="7"/>
      <c r="S299" s="7"/>
      <c r="T299" s="7"/>
      <c r="U299" s="7"/>
      <c r="V299" s="7"/>
      <c r="W299" s="7"/>
      <c r="X299" s="7"/>
      <c r="Y299" s="7"/>
      <c r="Z299" s="7"/>
      <c r="AA299" s="7"/>
      <c r="AB299" s="7"/>
      <c r="AC299" s="7"/>
      <c r="AD299" s="7"/>
      <c r="AE299" s="7"/>
      <c r="AF299" s="7"/>
      <c r="AG299" s="7">
        <v>5234.6499999999996</v>
      </c>
      <c r="AH299" s="7">
        <v>8540.74</v>
      </c>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2"/>
      <c r="BX299" s="8">
        <v>46022</v>
      </c>
      <c r="BY299" s="8"/>
      <c r="BZ299" s="2"/>
      <c r="CA299" s="14">
        <f t="shared" si="33"/>
        <v>13775.39</v>
      </c>
      <c r="CB299" s="2" t="str">
        <f t="shared" si="34"/>
        <v>OK</v>
      </c>
      <c r="CC299" s="13">
        <f t="shared" si="35"/>
        <v>0</v>
      </c>
    </row>
    <row r="300" spans="1:81" s="9" customFormat="1" ht="108.75" hidden="1" customHeight="1" x14ac:dyDescent="0.25">
      <c r="A300" s="2" t="s">
        <v>1514</v>
      </c>
      <c r="B300" s="2" t="s">
        <v>767</v>
      </c>
      <c r="C300" s="2" t="s">
        <v>681</v>
      </c>
      <c r="D300" s="12" t="s">
        <v>768</v>
      </c>
      <c r="E300" s="2"/>
      <c r="F300" s="2" t="s">
        <v>65</v>
      </c>
      <c r="G300" s="2" t="s">
        <v>2038</v>
      </c>
      <c r="H300" s="2" t="s">
        <v>66</v>
      </c>
      <c r="I300" s="2" t="s">
        <v>686</v>
      </c>
      <c r="J300" s="2" t="s">
        <v>1618</v>
      </c>
      <c r="K300" s="2" t="s">
        <v>67</v>
      </c>
      <c r="L300" s="22">
        <v>13242.04</v>
      </c>
      <c r="M300" s="22">
        <v>13242.04</v>
      </c>
      <c r="N300" s="2" t="s">
        <v>1140</v>
      </c>
      <c r="O300" s="7">
        <v>0</v>
      </c>
      <c r="P300" s="7"/>
      <c r="Q300" s="7"/>
      <c r="R300" s="7"/>
      <c r="S300" s="7"/>
      <c r="T300" s="7"/>
      <c r="U300" s="7"/>
      <c r="V300" s="7"/>
      <c r="W300" s="7"/>
      <c r="X300" s="7"/>
      <c r="Y300" s="7"/>
      <c r="Z300" s="7"/>
      <c r="AA300" s="7">
        <f>1500</f>
        <v>1500</v>
      </c>
      <c r="AB300" s="7"/>
      <c r="AC300" s="7"/>
      <c r="AD300" s="7"/>
      <c r="AE300" s="7"/>
      <c r="AF300" s="7"/>
      <c r="AG300" s="7">
        <f>(13242.04-1500)/2</f>
        <v>5871.02</v>
      </c>
      <c r="AH300" s="7">
        <f>(13242.04-1500)/2</f>
        <v>5871.02</v>
      </c>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2"/>
      <c r="BX300" s="8">
        <v>46022</v>
      </c>
      <c r="BY300" s="8"/>
      <c r="BZ300" s="2"/>
      <c r="CA300" s="14">
        <f t="shared" si="33"/>
        <v>13242.04</v>
      </c>
      <c r="CB300" s="2" t="str">
        <f t="shared" si="34"/>
        <v>OK</v>
      </c>
      <c r="CC300" s="13">
        <f t="shared" si="35"/>
        <v>0</v>
      </c>
    </row>
    <row r="301" spans="1:81" s="9" customFormat="1" ht="120" hidden="1" customHeight="1" x14ac:dyDescent="0.25">
      <c r="A301" s="2" t="s">
        <v>1518</v>
      </c>
      <c r="B301" s="2" t="s">
        <v>811</v>
      </c>
      <c r="C301" s="2" t="s">
        <v>681</v>
      </c>
      <c r="D301" s="12" t="s">
        <v>812</v>
      </c>
      <c r="E301" s="2"/>
      <c r="F301" s="2" t="s">
        <v>65</v>
      </c>
      <c r="G301" s="2" t="s">
        <v>2038</v>
      </c>
      <c r="H301" s="2" t="s">
        <v>66</v>
      </c>
      <c r="I301" s="2" t="s">
        <v>686</v>
      </c>
      <c r="J301" s="2" t="s">
        <v>1618</v>
      </c>
      <c r="K301" s="2" t="s">
        <v>67</v>
      </c>
      <c r="L301" s="22">
        <v>10205.76</v>
      </c>
      <c r="M301" s="22">
        <v>10205.76</v>
      </c>
      <c r="N301" s="2" t="s">
        <v>1140</v>
      </c>
      <c r="O301" s="7">
        <v>0</v>
      </c>
      <c r="P301" s="7"/>
      <c r="Q301" s="7"/>
      <c r="R301" s="7"/>
      <c r="S301" s="7"/>
      <c r="T301" s="7"/>
      <c r="U301" s="7"/>
      <c r="V301" s="7"/>
      <c r="W301" s="7"/>
      <c r="X301" s="7"/>
      <c r="Y301" s="7"/>
      <c r="Z301" s="7"/>
      <c r="AA301" s="7"/>
      <c r="AB301" s="7"/>
      <c r="AC301" s="7"/>
      <c r="AD301" s="7"/>
      <c r="AE301" s="7"/>
      <c r="AF301" s="7"/>
      <c r="AG301" s="7">
        <v>5102.88</v>
      </c>
      <c r="AH301" s="7">
        <v>5102.88</v>
      </c>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2"/>
      <c r="BX301" s="8">
        <v>46022</v>
      </c>
      <c r="BY301" s="8"/>
      <c r="BZ301" s="2"/>
      <c r="CA301" s="14">
        <f t="shared" si="33"/>
        <v>10205.76</v>
      </c>
      <c r="CB301" s="2" t="str">
        <f t="shared" si="34"/>
        <v>OK</v>
      </c>
      <c r="CC301" s="13">
        <f t="shared" si="35"/>
        <v>0</v>
      </c>
    </row>
    <row r="302" spans="1:81" s="9" customFormat="1" ht="97.5" hidden="1" customHeight="1" x14ac:dyDescent="0.25">
      <c r="A302" s="2" t="s">
        <v>1519</v>
      </c>
      <c r="B302" s="2" t="s">
        <v>787</v>
      </c>
      <c r="C302" s="2" t="s">
        <v>681</v>
      </c>
      <c r="D302" s="12" t="s">
        <v>788</v>
      </c>
      <c r="E302" s="2"/>
      <c r="F302" s="2" t="s">
        <v>65</v>
      </c>
      <c r="G302" s="2" t="s">
        <v>2038</v>
      </c>
      <c r="H302" s="2" t="s">
        <v>66</v>
      </c>
      <c r="I302" s="2" t="s">
        <v>686</v>
      </c>
      <c r="J302" s="2" t="s">
        <v>1618</v>
      </c>
      <c r="K302" s="2" t="s">
        <v>67</v>
      </c>
      <c r="L302" s="22">
        <v>10025.299999999999</v>
      </c>
      <c r="M302" s="22">
        <v>10025.299999999999</v>
      </c>
      <c r="N302" s="2" t="s">
        <v>1140</v>
      </c>
      <c r="O302" s="7">
        <v>0</v>
      </c>
      <c r="P302" s="7"/>
      <c r="Q302" s="7"/>
      <c r="R302" s="7"/>
      <c r="S302" s="7"/>
      <c r="T302" s="7"/>
      <c r="U302" s="7"/>
      <c r="V302" s="7"/>
      <c r="W302" s="7"/>
      <c r="X302" s="7"/>
      <c r="Y302" s="7"/>
      <c r="Z302" s="7"/>
      <c r="AA302" s="7">
        <f>1500</f>
        <v>1500</v>
      </c>
      <c r="AB302" s="7"/>
      <c r="AC302" s="7"/>
      <c r="AD302" s="7"/>
      <c r="AE302" s="7"/>
      <c r="AF302" s="7"/>
      <c r="AG302" s="7">
        <f>(10025.3-1500)/2</f>
        <v>4262.6499999999996</v>
      </c>
      <c r="AH302" s="7">
        <f>(10025.3-1500)/2</f>
        <v>4262.6499999999996</v>
      </c>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2"/>
      <c r="BX302" s="8">
        <v>46022</v>
      </c>
      <c r="BY302" s="8"/>
      <c r="BZ302" s="2"/>
      <c r="CA302" s="14">
        <f t="shared" si="33"/>
        <v>10025.299999999999</v>
      </c>
      <c r="CB302" s="2" t="str">
        <f t="shared" si="34"/>
        <v>OK</v>
      </c>
      <c r="CC302" s="13">
        <f t="shared" si="35"/>
        <v>0</v>
      </c>
    </row>
    <row r="303" spans="1:81" s="9" customFormat="1" ht="102.75" hidden="1" customHeight="1" x14ac:dyDescent="0.25">
      <c r="A303" s="2" t="s">
        <v>1523</v>
      </c>
      <c r="B303" s="2" t="s">
        <v>975</v>
      </c>
      <c r="C303" s="2" t="s">
        <v>681</v>
      </c>
      <c r="D303" s="12" t="s">
        <v>1654</v>
      </c>
      <c r="E303" s="2" t="s">
        <v>976</v>
      </c>
      <c r="F303" s="2" t="s">
        <v>65</v>
      </c>
      <c r="G303" s="2" t="s">
        <v>2038</v>
      </c>
      <c r="H303" s="2" t="s">
        <v>66</v>
      </c>
      <c r="I303" s="2" t="s">
        <v>686</v>
      </c>
      <c r="J303" s="2" t="s">
        <v>1618</v>
      </c>
      <c r="K303" s="2" t="s">
        <v>67</v>
      </c>
      <c r="L303" s="22">
        <v>7816.11</v>
      </c>
      <c r="M303" s="22">
        <v>7816.11</v>
      </c>
      <c r="N303" s="2" t="s">
        <v>49</v>
      </c>
      <c r="O303" s="7"/>
      <c r="P303" s="7"/>
      <c r="Q303" s="7"/>
      <c r="R303" s="7"/>
      <c r="S303" s="7"/>
      <c r="T303" s="7"/>
      <c r="U303" s="7"/>
      <c r="V303" s="7"/>
      <c r="W303" s="7"/>
      <c r="X303" s="7"/>
      <c r="Y303" s="7"/>
      <c r="Z303" s="7"/>
      <c r="AA303" s="7"/>
      <c r="AB303" s="7"/>
      <c r="AC303" s="7"/>
      <c r="AD303" s="7"/>
      <c r="AE303" s="7"/>
      <c r="AF303" s="7"/>
      <c r="AG303" s="7">
        <v>0</v>
      </c>
      <c r="AH303" s="7">
        <v>7816.11</v>
      </c>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2"/>
      <c r="BX303" s="8">
        <v>46022</v>
      </c>
      <c r="BY303" s="8"/>
      <c r="BZ303" s="2"/>
      <c r="CA303" s="14">
        <f t="shared" si="33"/>
        <v>7816.11</v>
      </c>
      <c r="CB303" s="2" t="str">
        <f t="shared" si="34"/>
        <v>OK</v>
      </c>
      <c r="CC303" s="13">
        <f t="shared" si="35"/>
        <v>0</v>
      </c>
    </row>
    <row r="304" spans="1:81" s="9" customFormat="1" ht="120" hidden="1" customHeight="1" x14ac:dyDescent="0.25">
      <c r="A304" s="2" t="s">
        <v>1524</v>
      </c>
      <c r="B304" s="2" t="s">
        <v>704</v>
      </c>
      <c r="C304" s="2" t="s">
        <v>681</v>
      </c>
      <c r="D304" s="12" t="s">
        <v>705</v>
      </c>
      <c r="E304" s="2"/>
      <c r="F304" s="2" t="s">
        <v>65</v>
      </c>
      <c r="G304" s="2" t="s">
        <v>2038</v>
      </c>
      <c r="H304" s="2" t="s">
        <v>66</v>
      </c>
      <c r="I304" s="2" t="s">
        <v>686</v>
      </c>
      <c r="J304" s="2" t="s">
        <v>1618</v>
      </c>
      <c r="K304" s="2" t="s">
        <v>67</v>
      </c>
      <c r="L304" s="22">
        <v>7283.96</v>
      </c>
      <c r="M304" s="22">
        <v>7283.96</v>
      </c>
      <c r="N304" s="2" t="s">
        <v>1140</v>
      </c>
      <c r="O304" s="7">
        <v>0</v>
      </c>
      <c r="P304" s="7"/>
      <c r="Q304" s="7"/>
      <c r="R304" s="7"/>
      <c r="S304" s="7"/>
      <c r="T304" s="7"/>
      <c r="U304" s="7"/>
      <c r="V304" s="7"/>
      <c r="W304" s="7"/>
      <c r="X304" s="7"/>
      <c r="Y304" s="7"/>
      <c r="Z304" s="7"/>
      <c r="AA304" s="7"/>
      <c r="AB304" s="7"/>
      <c r="AC304" s="7"/>
      <c r="AD304" s="7"/>
      <c r="AE304" s="7"/>
      <c r="AF304" s="7"/>
      <c r="AG304" s="7">
        <f>3641.98</f>
        <v>3641.98</v>
      </c>
      <c r="AH304" s="7">
        <v>3641.98</v>
      </c>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2"/>
      <c r="BX304" s="8">
        <v>46022</v>
      </c>
      <c r="BY304" s="8"/>
      <c r="BZ304" s="2"/>
      <c r="CA304" s="14">
        <f t="shared" si="33"/>
        <v>7283.96</v>
      </c>
      <c r="CB304" s="2" t="str">
        <f t="shared" si="34"/>
        <v>OK</v>
      </c>
      <c r="CC304" s="13">
        <f t="shared" si="35"/>
        <v>0</v>
      </c>
    </row>
    <row r="305" spans="1:81" s="9" customFormat="1" ht="120" hidden="1" customHeight="1" x14ac:dyDescent="0.25">
      <c r="A305" s="2" t="s">
        <v>1525</v>
      </c>
      <c r="B305" s="2" t="s">
        <v>957</v>
      </c>
      <c r="C305" s="2" t="s">
        <v>681</v>
      </c>
      <c r="D305" s="12" t="s">
        <v>1655</v>
      </c>
      <c r="E305" s="2" t="s">
        <v>959</v>
      </c>
      <c r="F305" s="2" t="s">
        <v>65</v>
      </c>
      <c r="G305" s="2" t="s">
        <v>2038</v>
      </c>
      <c r="H305" s="2" t="s">
        <v>66</v>
      </c>
      <c r="I305" s="2" t="s">
        <v>686</v>
      </c>
      <c r="J305" s="2" t="s">
        <v>1618</v>
      </c>
      <c r="K305" s="2" t="s">
        <v>67</v>
      </c>
      <c r="L305" s="22">
        <v>5210.74</v>
      </c>
      <c r="M305" s="22">
        <v>5210.74</v>
      </c>
      <c r="N305" s="2" t="s">
        <v>49</v>
      </c>
      <c r="O305" s="7"/>
      <c r="P305" s="7"/>
      <c r="Q305" s="7"/>
      <c r="R305" s="7"/>
      <c r="S305" s="7"/>
      <c r="T305" s="7"/>
      <c r="U305" s="7"/>
      <c r="V305" s="7"/>
      <c r="W305" s="7"/>
      <c r="X305" s="7"/>
      <c r="Y305" s="7"/>
      <c r="Z305" s="7"/>
      <c r="AA305" s="7"/>
      <c r="AB305" s="7"/>
      <c r="AC305" s="7"/>
      <c r="AD305" s="7"/>
      <c r="AE305" s="7"/>
      <c r="AF305" s="7"/>
      <c r="AG305" s="7">
        <v>0</v>
      </c>
      <c r="AH305" s="7">
        <v>5210.74</v>
      </c>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2"/>
      <c r="BX305" s="8">
        <v>46022</v>
      </c>
      <c r="BY305" s="8"/>
      <c r="BZ305" s="2"/>
      <c r="CA305" s="14">
        <f t="shared" si="33"/>
        <v>5210.74</v>
      </c>
      <c r="CB305" s="2" t="str">
        <f t="shared" si="34"/>
        <v>OK</v>
      </c>
      <c r="CC305" s="13">
        <f t="shared" si="35"/>
        <v>0</v>
      </c>
    </row>
    <row r="306" spans="1:81" s="9" customFormat="1" ht="93.75" hidden="1" customHeight="1" x14ac:dyDescent="0.25">
      <c r="A306" s="2" t="s">
        <v>1526</v>
      </c>
      <c r="B306" s="2" t="s">
        <v>962</v>
      </c>
      <c r="C306" s="2" t="s">
        <v>681</v>
      </c>
      <c r="D306" s="12" t="s">
        <v>1656</v>
      </c>
      <c r="E306" s="2" t="s">
        <v>963</v>
      </c>
      <c r="F306" s="2" t="s">
        <v>65</v>
      </c>
      <c r="G306" s="2" t="s">
        <v>2038</v>
      </c>
      <c r="H306" s="2" t="s">
        <v>66</v>
      </c>
      <c r="I306" s="2" t="s">
        <v>686</v>
      </c>
      <c r="J306" s="2" t="s">
        <v>1618</v>
      </c>
      <c r="K306" s="2" t="s">
        <v>67</v>
      </c>
      <c r="L306" s="22">
        <v>5210.74</v>
      </c>
      <c r="M306" s="22">
        <v>5210.74</v>
      </c>
      <c r="N306" s="2" t="s">
        <v>49</v>
      </c>
      <c r="O306" s="7"/>
      <c r="P306" s="7"/>
      <c r="Q306" s="7"/>
      <c r="R306" s="7"/>
      <c r="S306" s="7"/>
      <c r="T306" s="7"/>
      <c r="U306" s="7"/>
      <c r="V306" s="7">
        <v>0</v>
      </c>
      <c r="W306" s="7"/>
      <c r="X306" s="7"/>
      <c r="Y306" s="7"/>
      <c r="Z306" s="7"/>
      <c r="AA306" s="7"/>
      <c r="AB306" s="7"/>
      <c r="AC306" s="7"/>
      <c r="AD306" s="7"/>
      <c r="AE306" s="7"/>
      <c r="AF306" s="7"/>
      <c r="AG306" s="7"/>
      <c r="AH306" s="7">
        <v>5210.74</v>
      </c>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2"/>
      <c r="BX306" s="8">
        <v>46022</v>
      </c>
      <c r="BY306" s="8"/>
      <c r="BZ306" s="8" t="s">
        <v>1774</v>
      </c>
      <c r="CA306" s="14">
        <f t="shared" si="33"/>
        <v>5210.74</v>
      </c>
      <c r="CB306" s="2" t="str">
        <f t="shared" si="34"/>
        <v>OK</v>
      </c>
      <c r="CC306" s="13">
        <f t="shared" si="35"/>
        <v>0</v>
      </c>
    </row>
    <row r="307" spans="1:81" s="9" customFormat="1" ht="160.5" hidden="1" customHeight="1" x14ac:dyDescent="0.25">
      <c r="A307" s="2" t="s">
        <v>1527</v>
      </c>
      <c r="B307" s="2" t="s">
        <v>986</v>
      </c>
      <c r="C307" s="2" t="s">
        <v>681</v>
      </c>
      <c r="D307" s="12" t="s">
        <v>1657</v>
      </c>
      <c r="E307" s="2" t="s">
        <v>987</v>
      </c>
      <c r="F307" s="2" t="s">
        <v>65</v>
      </c>
      <c r="G307" s="2" t="s">
        <v>2038</v>
      </c>
      <c r="H307" s="2" t="s">
        <v>66</v>
      </c>
      <c r="I307" s="2" t="s">
        <v>686</v>
      </c>
      <c r="J307" s="2" t="s">
        <v>1618</v>
      </c>
      <c r="K307" s="2" t="s">
        <v>67</v>
      </c>
      <c r="L307" s="22">
        <v>5210.74</v>
      </c>
      <c r="M307" s="22">
        <v>5210.74</v>
      </c>
      <c r="N307" s="2" t="s">
        <v>49</v>
      </c>
      <c r="O307" s="7"/>
      <c r="P307" s="7"/>
      <c r="Q307" s="7"/>
      <c r="R307" s="7"/>
      <c r="S307" s="7"/>
      <c r="T307" s="7"/>
      <c r="U307" s="7"/>
      <c r="V307" s="7"/>
      <c r="W307" s="7"/>
      <c r="X307" s="7"/>
      <c r="Y307" s="7"/>
      <c r="Z307" s="7"/>
      <c r="AA307" s="7"/>
      <c r="AB307" s="7"/>
      <c r="AC307" s="7"/>
      <c r="AD307" s="7"/>
      <c r="AE307" s="7"/>
      <c r="AF307" s="7"/>
      <c r="AG307" s="7">
        <v>0</v>
      </c>
      <c r="AH307" s="7">
        <v>5210.74</v>
      </c>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2"/>
      <c r="BX307" s="8">
        <v>46022</v>
      </c>
      <c r="BY307" s="8"/>
      <c r="BZ307" s="15"/>
      <c r="CA307" s="14">
        <f t="shared" si="33"/>
        <v>5210.74</v>
      </c>
      <c r="CB307" s="2" t="str">
        <f t="shared" si="34"/>
        <v>OK</v>
      </c>
      <c r="CC307" s="13">
        <f t="shared" si="35"/>
        <v>0</v>
      </c>
    </row>
    <row r="308" spans="1:81" s="9" customFormat="1" ht="109.5" hidden="1" customHeight="1" x14ac:dyDescent="0.25">
      <c r="A308" s="2" t="s">
        <v>1528</v>
      </c>
      <c r="B308" s="2" t="s">
        <v>702</v>
      </c>
      <c r="C308" s="2" t="s">
        <v>681</v>
      </c>
      <c r="D308" s="12" t="s">
        <v>703</v>
      </c>
      <c r="E308" s="2"/>
      <c r="F308" s="2" t="s">
        <v>65</v>
      </c>
      <c r="G308" s="2" t="s">
        <v>2038</v>
      </c>
      <c r="H308" s="2" t="s">
        <v>66</v>
      </c>
      <c r="I308" s="2" t="s">
        <v>686</v>
      </c>
      <c r="J308" s="2" t="s">
        <v>1618</v>
      </c>
      <c r="K308" s="2" t="s">
        <v>67</v>
      </c>
      <c r="L308" s="22">
        <v>4294.34</v>
      </c>
      <c r="M308" s="22">
        <v>4294.34</v>
      </c>
      <c r="N308" s="2" t="s">
        <v>1140</v>
      </c>
      <c r="O308" s="7">
        <v>0</v>
      </c>
      <c r="P308" s="7"/>
      <c r="Q308" s="7"/>
      <c r="R308" s="7"/>
      <c r="S308" s="7"/>
      <c r="T308" s="7"/>
      <c r="U308" s="7"/>
      <c r="V308" s="7"/>
      <c r="W308" s="7"/>
      <c r="X308" s="7"/>
      <c r="Y308" s="7"/>
      <c r="Z308" s="7"/>
      <c r="AA308" s="7"/>
      <c r="AB308" s="7"/>
      <c r="AC308" s="7"/>
      <c r="AD308" s="7"/>
      <c r="AE308" s="7"/>
      <c r="AF308" s="7"/>
      <c r="AG308" s="7">
        <v>1417.13</v>
      </c>
      <c r="AH308" s="7">
        <v>2877.21</v>
      </c>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2"/>
      <c r="BX308" s="8">
        <v>46022</v>
      </c>
      <c r="BY308" s="8"/>
      <c r="BZ308" s="2"/>
      <c r="CA308" s="14">
        <f t="shared" si="33"/>
        <v>4294.34</v>
      </c>
      <c r="CB308" s="2" t="str">
        <f t="shared" si="34"/>
        <v>OK</v>
      </c>
      <c r="CC308" s="13">
        <f t="shared" si="35"/>
        <v>0</v>
      </c>
    </row>
    <row r="309" spans="1:81" s="9" customFormat="1" ht="110.25" hidden="1" customHeight="1" x14ac:dyDescent="0.25">
      <c r="A309" s="2" t="s">
        <v>1532</v>
      </c>
      <c r="B309" s="2" t="s">
        <v>795</v>
      </c>
      <c r="C309" s="2" t="s">
        <v>681</v>
      </c>
      <c r="D309" s="12" t="s">
        <v>796</v>
      </c>
      <c r="E309" s="2"/>
      <c r="F309" s="2" t="s">
        <v>65</v>
      </c>
      <c r="G309" s="2" t="s">
        <v>2038</v>
      </c>
      <c r="H309" s="2" t="s">
        <v>66</v>
      </c>
      <c r="I309" s="2" t="s">
        <v>686</v>
      </c>
      <c r="J309" s="2" t="s">
        <v>1618</v>
      </c>
      <c r="K309" s="2" t="s">
        <v>67</v>
      </c>
      <c r="L309" s="22">
        <v>3670.56</v>
      </c>
      <c r="M309" s="22">
        <v>3670.56</v>
      </c>
      <c r="N309" s="2" t="s">
        <v>1140</v>
      </c>
      <c r="O309" s="7">
        <v>0</v>
      </c>
      <c r="P309" s="7"/>
      <c r="Q309" s="7"/>
      <c r="R309" s="7"/>
      <c r="S309" s="7"/>
      <c r="T309" s="7"/>
      <c r="U309" s="7"/>
      <c r="V309" s="7"/>
      <c r="W309" s="7"/>
      <c r="X309" s="7"/>
      <c r="Y309" s="7"/>
      <c r="Z309" s="7"/>
      <c r="AA309" s="7"/>
      <c r="AB309" s="7"/>
      <c r="AC309" s="7"/>
      <c r="AD309" s="7"/>
      <c r="AE309" s="7"/>
      <c r="AF309" s="7"/>
      <c r="AG309" s="7">
        <v>2569.4</v>
      </c>
      <c r="AH309" s="7">
        <v>1101.1600000000001</v>
      </c>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2"/>
      <c r="BX309" s="8">
        <v>46022</v>
      </c>
      <c r="BY309" s="8"/>
      <c r="BZ309" s="2"/>
      <c r="CA309" s="14">
        <f t="shared" si="33"/>
        <v>3670.5600000000004</v>
      </c>
      <c r="CB309" s="2" t="str">
        <f t="shared" si="34"/>
        <v>OK</v>
      </c>
      <c r="CC309" s="13">
        <f t="shared" si="35"/>
        <v>0</v>
      </c>
    </row>
    <row r="310" spans="1:81" s="9" customFormat="1" ht="105.75" hidden="1" customHeight="1" x14ac:dyDescent="0.25">
      <c r="A310" s="2" t="s">
        <v>1533</v>
      </c>
      <c r="B310" s="2" t="s">
        <v>785</v>
      </c>
      <c r="C310" s="2" t="s">
        <v>681</v>
      </c>
      <c r="D310" s="12" t="s">
        <v>786</v>
      </c>
      <c r="E310" s="2"/>
      <c r="F310" s="2" t="s">
        <v>65</v>
      </c>
      <c r="G310" s="2" t="s">
        <v>2038</v>
      </c>
      <c r="H310" s="2" t="s">
        <v>66</v>
      </c>
      <c r="I310" s="2" t="s">
        <v>686</v>
      </c>
      <c r="J310" s="2" t="s">
        <v>1618</v>
      </c>
      <c r="K310" s="2" t="s">
        <v>67</v>
      </c>
      <c r="L310" s="22">
        <v>3376.34</v>
      </c>
      <c r="M310" s="22">
        <v>3376.34</v>
      </c>
      <c r="N310" s="2" t="s">
        <v>49</v>
      </c>
      <c r="O310" s="7">
        <v>0</v>
      </c>
      <c r="P310" s="7"/>
      <c r="Q310" s="7"/>
      <c r="R310" s="7"/>
      <c r="S310" s="7"/>
      <c r="T310" s="7"/>
      <c r="U310" s="7"/>
      <c r="V310" s="7"/>
      <c r="W310" s="7"/>
      <c r="X310" s="7"/>
      <c r="Y310" s="7"/>
      <c r="Z310" s="7"/>
      <c r="AA310" s="7">
        <v>600</v>
      </c>
      <c r="AB310" s="7"/>
      <c r="AC310" s="7"/>
      <c r="AD310" s="7"/>
      <c r="AE310" s="7"/>
      <c r="AF310" s="7"/>
      <c r="AG310" s="7">
        <f>(3376.34-600)/2</f>
        <v>1388.17</v>
      </c>
      <c r="AH310" s="7">
        <f>(3376.34-600)/2</f>
        <v>1388.17</v>
      </c>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2"/>
      <c r="BX310" s="8">
        <v>46022</v>
      </c>
      <c r="BY310" s="8"/>
      <c r="BZ310" s="2"/>
      <c r="CA310" s="14">
        <f t="shared" si="33"/>
        <v>3376.34</v>
      </c>
      <c r="CB310" s="2" t="str">
        <f t="shared" si="34"/>
        <v>OK</v>
      </c>
      <c r="CC310" s="13">
        <f t="shared" si="35"/>
        <v>0</v>
      </c>
    </row>
    <row r="311" spans="1:81" s="9" customFormat="1" ht="99.75" hidden="1" customHeight="1" x14ac:dyDescent="0.25">
      <c r="A311" s="2" t="s">
        <v>1534</v>
      </c>
      <c r="B311" s="2" t="s">
        <v>756</v>
      </c>
      <c r="C311" s="2" t="s">
        <v>681</v>
      </c>
      <c r="D311" s="12" t="s">
        <v>757</v>
      </c>
      <c r="E311" s="2"/>
      <c r="F311" s="2" t="s">
        <v>65</v>
      </c>
      <c r="G311" s="2" t="s">
        <v>2038</v>
      </c>
      <c r="H311" s="2" t="s">
        <v>66</v>
      </c>
      <c r="I311" s="2" t="s">
        <v>686</v>
      </c>
      <c r="J311" s="2" t="s">
        <v>1618</v>
      </c>
      <c r="K311" s="2" t="s">
        <v>67</v>
      </c>
      <c r="L311" s="22">
        <v>3031.39</v>
      </c>
      <c r="M311" s="22">
        <v>3031.39</v>
      </c>
      <c r="N311" s="2" t="s">
        <v>1140</v>
      </c>
      <c r="O311" s="7">
        <v>0</v>
      </c>
      <c r="P311" s="7"/>
      <c r="Q311" s="7"/>
      <c r="R311" s="7"/>
      <c r="S311" s="7"/>
      <c r="T311" s="7"/>
      <c r="U311" s="7"/>
      <c r="V311" s="7"/>
      <c r="W311" s="7"/>
      <c r="X311" s="7"/>
      <c r="Y311" s="7"/>
      <c r="Z311" s="7"/>
      <c r="AA311" s="7"/>
      <c r="AB311" s="7"/>
      <c r="AC311" s="7"/>
      <c r="AD311" s="7"/>
      <c r="AE311" s="7"/>
      <c r="AF311" s="7"/>
      <c r="AG311" s="7">
        <v>1273.18</v>
      </c>
      <c r="AH311" s="7">
        <v>1758.21</v>
      </c>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2"/>
      <c r="BX311" s="8">
        <v>46022</v>
      </c>
      <c r="BY311" s="8"/>
      <c r="BZ311" s="57"/>
      <c r="CA311" s="14">
        <f t="shared" si="33"/>
        <v>3031.3900000000003</v>
      </c>
      <c r="CB311" s="2" t="str">
        <f t="shared" si="34"/>
        <v>OK</v>
      </c>
      <c r="CC311" s="13">
        <f t="shared" si="35"/>
        <v>0</v>
      </c>
    </row>
    <row r="312" spans="1:81" s="9" customFormat="1" ht="98.25" hidden="1" customHeight="1" x14ac:dyDescent="0.25">
      <c r="A312" s="2" t="s">
        <v>1536</v>
      </c>
      <c r="B312" s="2" t="s">
        <v>700</v>
      </c>
      <c r="C312" s="2" t="s">
        <v>681</v>
      </c>
      <c r="D312" s="12" t="s">
        <v>701</v>
      </c>
      <c r="E312" s="2"/>
      <c r="F312" s="2" t="s">
        <v>65</v>
      </c>
      <c r="G312" s="2" t="s">
        <v>2038</v>
      </c>
      <c r="H312" s="2" t="s">
        <v>66</v>
      </c>
      <c r="I312" s="2" t="s">
        <v>686</v>
      </c>
      <c r="J312" s="2" t="s">
        <v>1618</v>
      </c>
      <c r="K312" s="2" t="s">
        <v>67</v>
      </c>
      <c r="L312" s="22">
        <v>1827.94</v>
      </c>
      <c r="M312" s="22">
        <v>1827.94</v>
      </c>
      <c r="N312" s="2" t="s">
        <v>1140</v>
      </c>
      <c r="O312" s="7"/>
      <c r="P312" s="7"/>
      <c r="Q312" s="7"/>
      <c r="R312" s="7"/>
      <c r="S312" s="7"/>
      <c r="T312" s="7"/>
      <c r="U312" s="7"/>
      <c r="V312" s="7"/>
      <c r="W312" s="7"/>
      <c r="X312" s="7"/>
      <c r="Y312" s="7"/>
      <c r="Z312" s="7"/>
      <c r="AA312" s="7"/>
      <c r="AB312" s="7"/>
      <c r="AC312" s="7"/>
      <c r="AD312" s="7"/>
      <c r="AE312" s="7"/>
      <c r="AF312" s="7"/>
      <c r="AG312" s="7">
        <v>913.97</v>
      </c>
      <c r="AH312" s="7">
        <v>913.97</v>
      </c>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2"/>
      <c r="BX312" s="8">
        <v>46022</v>
      </c>
      <c r="BY312" s="8"/>
      <c r="BZ312" s="61"/>
      <c r="CA312" s="14">
        <f t="shared" si="33"/>
        <v>1827.94</v>
      </c>
      <c r="CB312" s="2" t="str">
        <f t="shared" si="34"/>
        <v>OK</v>
      </c>
      <c r="CC312" s="13">
        <f t="shared" si="35"/>
        <v>0</v>
      </c>
    </row>
    <row r="313" spans="1:81" s="9" customFormat="1" ht="100.5" hidden="1" customHeight="1" x14ac:dyDescent="0.25">
      <c r="A313" s="2" t="s">
        <v>1537</v>
      </c>
      <c r="B313" s="2" t="s">
        <v>797</v>
      </c>
      <c r="C313" s="2" t="s">
        <v>681</v>
      </c>
      <c r="D313" s="12" t="s">
        <v>798</v>
      </c>
      <c r="E313" s="2"/>
      <c r="F313" s="2" t="s">
        <v>65</v>
      </c>
      <c r="G313" s="2" t="s">
        <v>2038</v>
      </c>
      <c r="H313" s="2" t="s">
        <v>66</v>
      </c>
      <c r="I313" s="2" t="s">
        <v>686</v>
      </c>
      <c r="J313" s="2" t="s">
        <v>1618</v>
      </c>
      <c r="K313" s="2" t="s">
        <v>67</v>
      </c>
      <c r="L313" s="22">
        <v>1772.44</v>
      </c>
      <c r="M313" s="22">
        <v>1772.44</v>
      </c>
      <c r="N313" s="2" t="s">
        <v>1140</v>
      </c>
      <c r="O313" s="7">
        <v>0</v>
      </c>
      <c r="P313" s="7"/>
      <c r="Q313" s="7"/>
      <c r="R313" s="7"/>
      <c r="S313" s="7"/>
      <c r="T313" s="7"/>
      <c r="U313" s="7"/>
      <c r="V313" s="7"/>
      <c r="W313" s="7"/>
      <c r="X313" s="7"/>
      <c r="Y313" s="7"/>
      <c r="Z313" s="7"/>
      <c r="AA313" s="7"/>
      <c r="AB313" s="7"/>
      <c r="AC313" s="7"/>
      <c r="AD313" s="7"/>
      <c r="AE313" s="7"/>
      <c r="AF313" s="7"/>
      <c r="AG313" s="7">
        <v>1240.71</v>
      </c>
      <c r="AH313" s="7">
        <v>531.73</v>
      </c>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2"/>
      <c r="BX313" s="8">
        <v>46022</v>
      </c>
      <c r="BY313" s="8"/>
      <c r="BZ313" s="2"/>
      <c r="CA313" s="14">
        <f t="shared" si="33"/>
        <v>1772.44</v>
      </c>
      <c r="CB313" s="2" t="str">
        <f t="shared" si="34"/>
        <v>OK</v>
      </c>
      <c r="CC313" s="13">
        <f t="shared" si="35"/>
        <v>0</v>
      </c>
    </row>
    <row r="314" spans="1:81" s="9" customFormat="1" ht="110.25" hidden="1" customHeight="1" x14ac:dyDescent="0.25">
      <c r="A314" s="2" t="s">
        <v>1538</v>
      </c>
      <c r="B314" s="2" t="s">
        <v>764</v>
      </c>
      <c r="C314" s="2" t="s">
        <v>681</v>
      </c>
      <c r="D314" s="12" t="s">
        <v>765</v>
      </c>
      <c r="E314" s="2"/>
      <c r="F314" s="2" t="s">
        <v>65</v>
      </c>
      <c r="G314" s="2" t="s">
        <v>2038</v>
      </c>
      <c r="H314" s="2" t="s">
        <v>66</v>
      </c>
      <c r="I314" s="2" t="s">
        <v>686</v>
      </c>
      <c r="J314" s="2" t="s">
        <v>1618</v>
      </c>
      <c r="K314" s="2" t="s">
        <v>67</v>
      </c>
      <c r="L314" s="22">
        <v>1752.31</v>
      </c>
      <c r="M314" s="22">
        <v>1752.31</v>
      </c>
      <c r="N314" s="2" t="s">
        <v>1140</v>
      </c>
      <c r="O314" s="7">
        <v>0</v>
      </c>
      <c r="P314" s="7"/>
      <c r="Q314" s="7"/>
      <c r="R314" s="7"/>
      <c r="S314" s="7"/>
      <c r="T314" s="7"/>
      <c r="U314" s="7"/>
      <c r="V314" s="7"/>
      <c r="W314" s="7"/>
      <c r="X314" s="7"/>
      <c r="Y314" s="7"/>
      <c r="Z314" s="7"/>
      <c r="AA314" s="7"/>
      <c r="AB314" s="7"/>
      <c r="AC314" s="7"/>
      <c r="AD314" s="7"/>
      <c r="AE314" s="7"/>
      <c r="AF314" s="7"/>
      <c r="AG314" s="7">
        <f>1752.31/2</f>
        <v>876.15499999999997</v>
      </c>
      <c r="AH314" s="7">
        <f>1752.31/2</f>
        <v>876.15499999999997</v>
      </c>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2"/>
      <c r="BX314" s="8">
        <v>46022</v>
      </c>
      <c r="BY314" s="8"/>
      <c r="BZ314" s="2"/>
      <c r="CA314" s="14">
        <f t="shared" si="33"/>
        <v>1752.31</v>
      </c>
      <c r="CB314" s="2" t="str">
        <f t="shared" si="34"/>
        <v>OK</v>
      </c>
      <c r="CC314" s="13">
        <f t="shared" si="35"/>
        <v>0</v>
      </c>
    </row>
    <row r="315" spans="1:81" s="9" customFormat="1" ht="107.25" hidden="1" customHeight="1" x14ac:dyDescent="0.25">
      <c r="A315" s="2" t="s">
        <v>1539</v>
      </c>
      <c r="B315" s="2" t="s">
        <v>750</v>
      </c>
      <c r="C315" s="2" t="s">
        <v>681</v>
      </c>
      <c r="D315" s="12" t="s">
        <v>751</v>
      </c>
      <c r="E315" s="2"/>
      <c r="F315" s="2" t="s">
        <v>65</v>
      </c>
      <c r="G315" s="2" t="s">
        <v>2038</v>
      </c>
      <c r="H315" s="2" t="s">
        <v>66</v>
      </c>
      <c r="I315" s="2" t="s">
        <v>686</v>
      </c>
      <c r="J315" s="2" t="s">
        <v>1618</v>
      </c>
      <c r="K315" s="2" t="s">
        <v>67</v>
      </c>
      <c r="L315" s="22">
        <v>1393.82</v>
      </c>
      <c r="M315" s="22">
        <v>1393.82</v>
      </c>
      <c r="N315" s="2" t="s">
        <v>1140</v>
      </c>
      <c r="O315" s="7">
        <v>0</v>
      </c>
      <c r="P315" s="7"/>
      <c r="Q315" s="7"/>
      <c r="R315" s="7"/>
      <c r="S315" s="7"/>
      <c r="T315" s="7"/>
      <c r="U315" s="7"/>
      <c r="V315" s="7"/>
      <c r="W315" s="7"/>
      <c r="X315" s="7"/>
      <c r="Y315" s="7"/>
      <c r="Z315" s="7"/>
      <c r="AA315" s="7"/>
      <c r="AB315" s="7"/>
      <c r="AC315" s="7"/>
      <c r="AD315" s="7"/>
      <c r="AE315" s="7"/>
      <c r="AF315" s="7"/>
      <c r="AG315" s="7">
        <f>1393.82/2</f>
        <v>696.91</v>
      </c>
      <c r="AH315" s="7">
        <f>1393.82/2</f>
        <v>696.91</v>
      </c>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2"/>
      <c r="BX315" s="8">
        <v>46022</v>
      </c>
      <c r="BY315" s="8"/>
      <c r="BZ315" s="59"/>
      <c r="CA315" s="14">
        <f t="shared" si="33"/>
        <v>1393.82</v>
      </c>
      <c r="CB315" s="2" t="str">
        <f t="shared" si="34"/>
        <v>OK</v>
      </c>
      <c r="CC315" s="13">
        <f t="shared" si="35"/>
        <v>0</v>
      </c>
    </row>
    <row r="316" spans="1:81" s="9" customFormat="1" ht="96.75" hidden="1" customHeight="1" x14ac:dyDescent="0.25">
      <c r="A316" s="2" t="s">
        <v>1540</v>
      </c>
      <c r="B316" s="2" t="s">
        <v>793</v>
      </c>
      <c r="C316" s="2" t="s">
        <v>681</v>
      </c>
      <c r="D316" s="12" t="s">
        <v>794</v>
      </c>
      <c r="E316" s="2"/>
      <c r="F316" s="2" t="s">
        <v>65</v>
      </c>
      <c r="G316" s="2" t="s">
        <v>2038</v>
      </c>
      <c r="H316" s="2" t="s">
        <v>66</v>
      </c>
      <c r="I316" s="2" t="s">
        <v>686</v>
      </c>
      <c r="J316" s="2" t="s">
        <v>1618</v>
      </c>
      <c r="K316" s="2" t="s">
        <v>67</v>
      </c>
      <c r="L316" s="22">
        <v>1244.8</v>
      </c>
      <c r="M316" s="22">
        <v>1244.8</v>
      </c>
      <c r="N316" s="2" t="s">
        <v>1140</v>
      </c>
      <c r="O316" s="7">
        <v>0</v>
      </c>
      <c r="P316" s="7"/>
      <c r="Q316" s="7"/>
      <c r="R316" s="7"/>
      <c r="S316" s="7"/>
      <c r="T316" s="7"/>
      <c r="U316" s="7"/>
      <c r="V316" s="7"/>
      <c r="W316" s="7"/>
      <c r="X316" s="7"/>
      <c r="Y316" s="7"/>
      <c r="Z316" s="7"/>
      <c r="AA316" s="7"/>
      <c r="AB316" s="7"/>
      <c r="AC316" s="7"/>
      <c r="AD316" s="7"/>
      <c r="AE316" s="7"/>
      <c r="AF316" s="7"/>
      <c r="AG316" s="7">
        <f>1244.8/2</f>
        <v>622.4</v>
      </c>
      <c r="AH316" s="7">
        <f>1244.8/2</f>
        <v>622.4</v>
      </c>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c r="BS316" s="7"/>
      <c r="BT316" s="7"/>
      <c r="BU316" s="7"/>
      <c r="BV316" s="7"/>
      <c r="BW316" s="2"/>
      <c r="BX316" s="8">
        <v>46022</v>
      </c>
      <c r="BY316" s="8"/>
      <c r="BZ316" s="2"/>
      <c r="CA316" s="14">
        <f t="shared" si="33"/>
        <v>1244.8</v>
      </c>
      <c r="CB316" s="2" t="str">
        <f t="shared" si="34"/>
        <v>OK</v>
      </c>
      <c r="CC316" s="13">
        <f t="shared" si="35"/>
        <v>0</v>
      </c>
    </row>
    <row r="317" spans="1:81" s="9" customFormat="1" ht="106.5" hidden="1" customHeight="1" x14ac:dyDescent="0.25">
      <c r="A317" s="2" t="s">
        <v>1541</v>
      </c>
      <c r="B317" s="2" t="s">
        <v>777</v>
      </c>
      <c r="C317" s="2" t="s">
        <v>681</v>
      </c>
      <c r="D317" s="12" t="s">
        <v>778</v>
      </c>
      <c r="E317" s="2"/>
      <c r="F317" s="2" t="s">
        <v>65</v>
      </c>
      <c r="G317" s="2" t="s">
        <v>2038</v>
      </c>
      <c r="H317" s="2" t="s">
        <v>66</v>
      </c>
      <c r="I317" s="2" t="s">
        <v>686</v>
      </c>
      <c r="J317" s="2" t="s">
        <v>1618</v>
      </c>
      <c r="K317" s="2" t="s">
        <v>67</v>
      </c>
      <c r="L317" s="22">
        <v>1056.77</v>
      </c>
      <c r="M317" s="22">
        <v>1056.77</v>
      </c>
      <c r="N317" s="2" t="s">
        <v>1140</v>
      </c>
      <c r="O317" s="7">
        <v>0</v>
      </c>
      <c r="P317" s="7"/>
      <c r="Q317" s="7"/>
      <c r="R317" s="7"/>
      <c r="S317" s="7"/>
      <c r="T317" s="7"/>
      <c r="U317" s="7"/>
      <c r="V317" s="7"/>
      <c r="W317" s="7"/>
      <c r="X317" s="7"/>
      <c r="Y317" s="7"/>
      <c r="Z317" s="7"/>
      <c r="AA317" s="7"/>
      <c r="AB317" s="7"/>
      <c r="AC317" s="7"/>
      <c r="AD317" s="7"/>
      <c r="AE317" s="7"/>
      <c r="AF317" s="7"/>
      <c r="AG317" s="7">
        <v>528.39</v>
      </c>
      <c r="AH317" s="7">
        <f>528.38</f>
        <v>528.38</v>
      </c>
      <c r="AI317" s="7"/>
      <c r="AJ317" s="7"/>
      <c r="AK317" s="7"/>
      <c r="AL317" s="7"/>
      <c r="AM317" s="7"/>
      <c r="AN317" s="7"/>
      <c r="AO317" s="7"/>
      <c r="AP317" s="7"/>
      <c r="AQ317" s="7"/>
      <c r="AR317" s="7"/>
      <c r="AS317" s="7"/>
      <c r="AT317" s="7"/>
      <c r="AU317" s="7"/>
      <c r="AV317" s="7"/>
      <c r="AW317" s="7"/>
      <c r="AX317" s="7"/>
      <c r="AY317" s="7"/>
      <c r="AZ317" s="7"/>
      <c r="BA317" s="7"/>
      <c r="BB317" s="7"/>
      <c r="BC317" s="7"/>
      <c r="BD317" s="7"/>
      <c r="BE317" s="7"/>
      <c r="BF317" s="7"/>
      <c r="BG317" s="7"/>
      <c r="BH317" s="7"/>
      <c r="BI317" s="7"/>
      <c r="BJ317" s="7"/>
      <c r="BK317" s="7"/>
      <c r="BL317" s="7"/>
      <c r="BM317" s="7"/>
      <c r="BN317" s="7"/>
      <c r="BO317" s="7"/>
      <c r="BP317" s="7"/>
      <c r="BQ317" s="7"/>
      <c r="BR317" s="7"/>
      <c r="BS317" s="7"/>
      <c r="BT317" s="7"/>
      <c r="BU317" s="7"/>
      <c r="BV317" s="7"/>
      <c r="BW317" s="2"/>
      <c r="BX317" s="8">
        <v>46022</v>
      </c>
      <c r="BY317" s="8"/>
      <c r="BZ317" s="2"/>
      <c r="CA317" s="14">
        <f t="shared" si="33"/>
        <v>1056.77</v>
      </c>
      <c r="CB317" s="2" t="str">
        <f t="shared" si="34"/>
        <v>OK</v>
      </c>
      <c r="CC317" s="13">
        <f t="shared" si="35"/>
        <v>0</v>
      </c>
    </row>
    <row r="318" spans="1:81" s="9" customFormat="1" ht="99.75" hidden="1" customHeight="1" x14ac:dyDescent="0.25">
      <c r="A318" s="2" t="s">
        <v>1542</v>
      </c>
      <c r="B318" s="2" t="s">
        <v>748</v>
      </c>
      <c r="C318" s="2" t="s">
        <v>681</v>
      </c>
      <c r="D318" s="12" t="s">
        <v>749</v>
      </c>
      <c r="E318" s="2"/>
      <c r="F318" s="2" t="s">
        <v>65</v>
      </c>
      <c r="G318" s="2" t="s">
        <v>2038</v>
      </c>
      <c r="H318" s="2" t="s">
        <v>66</v>
      </c>
      <c r="I318" s="2" t="s">
        <v>686</v>
      </c>
      <c r="J318" s="2" t="s">
        <v>1618</v>
      </c>
      <c r="K318" s="2" t="s">
        <v>67</v>
      </c>
      <c r="L318" s="22">
        <v>726.28</v>
      </c>
      <c r="M318" s="22">
        <v>726.28</v>
      </c>
      <c r="N318" s="2" t="s">
        <v>1140</v>
      </c>
      <c r="O318" s="7">
        <v>0</v>
      </c>
      <c r="P318" s="7"/>
      <c r="Q318" s="7"/>
      <c r="R318" s="7"/>
      <c r="S318" s="7"/>
      <c r="T318" s="7"/>
      <c r="U318" s="7"/>
      <c r="V318" s="7"/>
      <c r="W318" s="7"/>
      <c r="X318" s="7"/>
      <c r="Y318" s="7"/>
      <c r="Z318" s="7"/>
      <c r="AA318" s="7"/>
      <c r="AB318" s="7"/>
      <c r="AC318" s="7"/>
      <c r="AD318" s="7"/>
      <c r="AE318" s="7"/>
      <c r="AF318" s="7"/>
      <c r="AG318" s="7">
        <f>726.28/2</f>
        <v>363.14</v>
      </c>
      <c r="AH318" s="7">
        <f>726.28/2</f>
        <v>363.14</v>
      </c>
      <c r="AI318" s="7"/>
      <c r="AJ318" s="7"/>
      <c r="AK318" s="7"/>
      <c r="AL318" s="7"/>
      <c r="AM318" s="7"/>
      <c r="AN318" s="7"/>
      <c r="AO318" s="7"/>
      <c r="AP318" s="7"/>
      <c r="AQ318" s="7"/>
      <c r="AR318" s="7"/>
      <c r="AS318" s="7"/>
      <c r="AT318" s="7"/>
      <c r="AU318" s="7"/>
      <c r="AV318" s="7"/>
      <c r="AW318" s="7"/>
      <c r="AX318" s="7"/>
      <c r="AY318" s="7"/>
      <c r="AZ318" s="7"/>
      <c r="BA318" s="7"/>
      <c r="BB318" s="7"/>
      <c r="BC318" s="7"/>
      <c r="BD318" s="7"/>
      <c r="BE318" s="7"/>
      <c r="BF318" s="7"/>
      <c r="BG318" s="7"/>
      <c r="BH318" s="7"/>
      <c r="BI318" s="7"/>
      <c r="BJ318" s="7"/>
      <c r="BK318" s="7"/>
      <c r="BL318" s="7"/>
      <c r="BM318" s="7"/>
      <c r="BN318" s="7"/>
      <c r="BO318" s="7"/>
      <c r="BP318" s="7"/>
      <c r="BQ318" s="7"/>
      <c r="BR318" s="7"/>
      <c r="BS318" s="7"/>
      <c r="BT318" s="7"/>
      <c r="BU318" s="7"/>
      <c r="BV318" s="7"/>
      <c r="BW318" s="2"/>
      <c r="BX318" s="8">
        <v>46022</v>
      </c>
      <c r="BY318" s="8"/>
      <c r="BZ318" s="2" t="s">
        <v>1766</v>
      </c>
      <c r="CA318" s="14">
        <f t="shared" si="33"/>
        <v>726.28</v>
      </c>
      <c r="CB318" s="2" t="str">
        <f t="shared" si="34"/>
        <v>OK</v>
      </c>
      <c r="CC318" s="13">
        <f t="shared" si="35"/>
        <v>0</v>
      </c>
    </row>
    <row r="319" spans="1:81" s="9" customFormat="1" ht="110.1" hidden="1" customHeight="1" x14ac:dyDescent="0.25">
      <c r="A319" s="2" t="s">
        <v>1543</v>
      </c>
      <c r="B319" s="2" t="s">
        <v>783</v>
      </c>
      <c r="C319" s="2" t="s">
        <v>681</v>
      </c>
      <c r="D319" s="12" t="s">
        <v>784</v>
      </c>
      <c r="E319" s="2"/>
      <c r="F319" s="2" t="s">
        <v>65</v>
      </c>
      <c r="G319" s="2" t="s">
        <v>2038</v>
      </c>
      <c r="H319" s="2" t="s">
        <v>66</v>
      </c>
      <c r="I319" s="2" t="s">
        <v>686</v>
      </c>
      <c r="J319" s="2" t="s">
        <v>1618</v>
      </c>
      <c r="K319" s="2" t="s">
        <v>67</v>
      </c>
      <c r="L319" s="22">
        <v>640.99</v>
      </c>
      <c r="M319" s="22">
        <v>640.99</v>
      </c>
      <c r="N319" s="2" t="s">
        <v>1140</v>
      </c>
      <c r="O319" s="7">
        <v>0</v>
      </c>
      <c r="P319" s="7"/>
      <c r="Q319" s="7"/>
      <c r="R319" s="7"/>
      <c r="S319" s="7"/>
      <c r="T319" s="7"/>
      <c r="U319" s="7"/>
      <c r="V319" s="7"/>
      <c r="W319" s="7"/>
      <c r="X319" s="7"/>
      <c r="Y319" s="7"/>
      <c r="Z319" s="7"/>
      <c r="AA319" s="7"/>
      <c r="AB319" s="7"/>
      <c r="AC319" s="7"/>
      <c r="AD319" s="7"/>
      <c r="AE319" s="7"/>
      <c r="AF319" s="7"/>
      <c r="AG319" s="7">
        <v>320.49</v>
      </c>
      <c r="AH319" s="7">
        <v>320.5</v>
      </c>
      <c r="AI319" s="7"/>
      <c r="AJ319" s="7"/>
      <c r="AK319" s="7"/>
      <c r="AL319" s="7"/>
      <c r="AM319" s="7"/>
      <c r="AN319" s="7"/>
      <c r="AO319" s="7"/>
      <c r="AP319" s="7"/>
      <c r="AQ319" s="7"/>
      <c r="AR319" s="7"/>
      <c r="AS319" s="7"/>
      <c r="AT319" s="7"/>
      <c r="AU319" s="7"/>
      <c r="AV319" s="7"/>
      <c r="AW319" s="7"/>
      <c r="AX319" s="7"/>
      <c r="AY319" s="7"/>
      <c r="AZ319" s="7"/>
      <c r="BA319" s="7"/>
      <c r="BB319" s="7"/>
      <c r="BC319" s="7"/>
      <c r="BD319" s="7"/>
      <c r="BE319" s="7"/>
      <c r="BF319" s="7"/>
      <c r="BG319" s="7"/>
      <c r="BH319" s="7"/>
      <c r="BI319" s="7"/>
      <c r="BJ319" s="7"/>
      <c r="BK319" s="7"/>
      <c r="BL319" s="7"/>
      <c r="BM319" s="7"/>
      <c r="BN319" s="7"/>
      <c r="BO319" s="7"/>
      <c r="BP319" s="7"/>
      <c r="BQ319" s="7"/>
      <c r="BR319" s="7"/>
      <c r="BS319" s="7"/>
      <c r="BT319" s="7"/>
      <c r="BU319" s="7"/>
      <c r="BV319" s="7"/>
      <c r="BW319" s="2"/>
      <c r="BX319" s="8">
        <v>46022</v>
      </c>
      <c r="BY319" s="8"/>
      <c r="BZ319" s="2" t="s">
        <v>1780</v>
      </c>
      <c r="CA319" s="14">
        <f t="shared" si="33"/>
        <v>640.99</v>
      </c>
      <c r="CB319" s="2" t="str">
        <f t="shared" si="34"/>
        <v>OK</v>
      </c>
      <c r="CC319" s="13">
        <f t="shared" si="35"/>
        <v>0</v>
      </c>
    </row>
    <row r="320" spans="1:81" s="9" customFormat="1" ht="89.25" hidden="1" customHeight="1" x14ac:dyDescent="0.25">
      <c r="A320" s="2" t="s">
        <v>1544</v>
      </c>
      <c r="B320" s="2" t="s">
        <v>746</v>
      </c>
      <c r="C320" s="2" t="s">
        <v>681</v>
      </c>
      <c r="D320" s="12" t="s">
        <v>747</v>
      </c>
      <c r="E320" s="2"/>
      <c r="F320" s="2" t="s">
        <v>65</v>
      </c>
      <c r="G320" s="2" t="s">
        <v>2038</v>
      </c>
      <c r="H320" s="2" t="s">
        <v>66</v>
      </c>
      <c r="I320" s="2" t="s">
        <v>686</v>
      </c>
      <c r="J320" s="2" t="s">
        <v>1618</v>
      </c>
      <c r="K320" s="2" t="s">
        <v>67</v>
      </c>
      <c r="L320" s="22">
        <v>559.5</v>
      </c>
      <c r="M320" s="22">
        <v>559.5</v>
      </c>
      <c r="N320" s="2" t="s">
        <v>1140</v>
      </c>
      <c r="O320" s="7"/>
      <c r="P320" s="7"/>
      <c r="Q320" s="7"/>
      <c r="R320" s="7"/>
      <c r="S320" s="7"/>
      <c r="T320" s="7"/>
      <c r="U320" s="7"/>
      <c r="V320" s="7">
        <v>0</v>
      </c>
      <c r="W320" s="7"/>
      <c r="X320" s="7"/>
      <c r="Y320" s="7"/>
      <c r="Z320" s="7"/>
      <c r="AA320" s="7"/>
      <c r="AB320" s="7"/>
      <c r="AC320" s="7"/>
      <c r="AD320" s="7"/>
      <c r="AE320" s="7"/>
      <c r="AF320" s="7"/>
      <c r="AG320" s="7">
        <f>559.5/2</f>
        <v>279.75</v>
      </c>
      <c r="AH320" s="7">
        <f>559.5/2</f>
        <v>279.75</v>
      </c>
      <c r="AI320" s="7"/>
      <c r="AJ320" s="7"/>
      <c r="AK320" s="7"/>
      <c r="AL320" s="7"/>
      <c r="AM320" s="7"/>
      <c r="AN320" s="7"/>
      <c r="AO320" s="7"/>
      <c r="AP320" s="7"/>
      <c r="AQ320" s="7"/>
      <c r="AR320" s="7"/>
      <c r="AS320" s="7"/>
      <c r="AT320" s="7"/>
      <c r="AU320" s="7"/>
      <c r="AV320" s="7"/>
      <c r="AW320" s="7"/>
      <c r="AX320" s="7"/>
      <c r="AY320" s="7"/>
      <c r="AZ320" s="7"/>
      <c r="BA320" s="7"/>
      <c r="BB320" s="7"/>
      <c r="BC320" s="7"/>
      <c r="BD320" s="7"/>
      <c r="BE320" s="7"/>
      <c r="BF320" s="7"/>
      <c r="BG320" s="7"/>
      <c r="BH320" s="7"/>
      <c r="BI320" s="7"/>
      <c r="BJ320" s="7"/>
      <c r="BK320" s="7"/>
      <c r="BL320" s="7"/>
      <c r="BM320" s="7"/>
      <c r="BN320" s="7"/>
      <c r="BO320" s="7"/>
      <c r="BP320" s="7"/>
      <c r="BQ320" s="7"/>
      <c r="BR320" s="7"/>
      <c r="BS320" s="7"/>
      <c r="BT320" s="7"/>
      <c r="BU320" s="7"/>
      <c r="BV320" s="7"/>
      <c r="BW320" s="2"/>
      <c r="BX320" s="8">
        <v>46022</v>
      </c>
      <c r="BY320" s="8"/>
      <c r="BZ320" s="2" t="s">
        <v>1780</v>
      </c>
      <c r="CA320" s="14">
        <f t="shared" si="33"/>
        <v>559.5</v>
      </c>
      <c r="CB320" s="2" t="str">
        <f t="shared" si="34"/>
        <v>OK</v>
      </c>
      <c r="CC320" s="13">
        <f t="shared" si="35"/>
        <v>0</v>
      </c>
    </row>
    <row r="321" spans="1:81" s="9" customFormat="1" ht="89.25" hidden="1" customHeight="1" x14ac:dyDescent="0.25">
      <c r="A321" s="2" t="s">
        <v>1545</v>
      </c>
      <c r="B321" s="2" t="s">
        <v>801</v>
      </c>
      <c r="C321" s="2" t="s">
        <v>681</v>
      </c>
      <c r="D321" s="12" t="s">
        <v>802</v>
      </c>
      <c r="E321" s="2"/>
      <c r="F321" s="2" t="s">
        <v>65</v>
      </c>
      <c r="G321" s="2" t="s">
        <v>2038</v>
      </c>
      <c r="H321" s="2" t="s">
        <v>66</v>
      </c>
      <c r="I321" s="2" t="s">
        <v>686</v>
      </c>
      <c r="J321" s="2" t="s">
        <v>1618</v>
      </c>
      <c r="K321" s="2" t="s">
        <v>67</v>
      </c>
      <c r="L321" s="22">
        <v>486.33</v>
      </c>
      <c r="M321" s="22">
        <v>486.33</v>
      </c>
      <c r="N321" s="2" t="s">
        <v>1140</v>
      </c>
      <c r="O321" s="7">
        <v>0</v>
      </c>
      <c r="P321" s="7"/>
      <c r="Q321" s="7"/>
      <c r="R321" s="7"/>
      <c r="S321" s="7"/>
      <c r="T321" s="7"/>
      <c r="U321" s="7"/>
      <c r="V321" s="7"/>
      <c r="W321" s="7"/>
      <c r="X321" s="7"/>
      <c r="Y321" s="7"/>
      <c r="Z321" s="7"/>
      <c r="AA321" s="7"/>
      <c r="AB321" s="7"/>
      <c r="AC321" s="7"/>
      <c r="AD321" s="7"/>
      <c r="AE321" s="7"/>
      <c r="AF321" s="7"/>
      <c r="AG321" s="7">
        <v>243.16</v>
      </c>
      <c r="AH321" s="7">
        <v>243.17</v>
      </c>
      <c r="AI321" s="7"/>
      <c r="AJ321" s="7"/>
      <c r="AK321" s="7"/>
      <c r="AL321" s="7"/>
      <c r="AM321" s="7"/>
      <c r="AN321" s="7"/>
      <c r="AO321" s="7"/>
      <c r="AP321" s="7"/>
      <c r="AQ321" s="7"/>
      <c r="AR321" s="7"/>
      <c r="AS321" s="7"/>
      <c r="AT321" s="7"/>
      <c r="AU321" s="7"/>
      <c r="AV321" s="7"/>
      <c r="AW321" s="7"/>
      <c r="AX321" s="7"/>
      <c r="AY321" s="7"/>
      <c r="AZ321" s="7"/>
      <c r="BA321" s="7"/>
      <c r="BB321" s="7"/>
      <c r="BC321" s="7"/>
      <c r="BD321" s="7"/>
      <c r="BE321" s="7"/>
      <c r="BF321" s="7"/>
      <c r="BG321" s="7"/>
      <c r="BH321" s="7"/>
      <c r="BI321" s="7"/>
      <c r="BJ321" s="7"/>
      <c r="BK321" s="7">
        <v>0</v>
      </c>
      <c r="BL321" s="7"/>
      <c r="BM321" s="7"/>
      <c r="BN321" s="7"/>
      <c r="BO321" s="7"/>
      <c r="BP321" s="7"/>
      <c r="BQ321" s="7"/>
      <c r="BR321" s="7"/>
      <c r="BS321" s="7"/>
      <c r="BT321" s="7"/>
      <c r="BU321" s="7"/>
      <c r="BV321" s="7"/>
      <c r="BW321" s="2"/>
      <c r="BX321" s="8">
        <v>46022</v>
      </c>
      <c r="BY321" s="8"/>
      <c r="BZ321" s="2"/>
      <c r="CA321" s="14"/>
      <c r="CB321" s="2"/>
      <c r="CC321" s="13"/>
    </row>
    <row r="322" spans="1:81" s="9" customFormat="1" ht="99.75" hidden="1" customHeight="1" x14ac:dyDescent="0.25">
      <c r="A322" s="2" t="s">
        <v>1546</v>
      </c>
      <c r="B322" s="2" t="s">
        <v>809</v>
      </c>
      <c r="C322" s="2" t="s">
        <v>681</v>
      </c>
      <c r="D322" s="12" t="s">
        <v>810</v>
      </c>
      <c r="E322" s="2"/>
      <c r="F322" s="2" t="s">
        <v>65</v>
      </c>
      <c r="G322" s="2" t="s">
        <v>2038</v>
      </c>
      <c r="H322" s="2" t="s">
        <v>66</v>
      </c>
      <c r="I322" s="2" t="s">
        <v>686</v>
      </c>
      <c r="J322" s="2" t="s">
        <v>1618</v>
      </c>
      <c r="K322" s="2" t="s">
        <v>67</v>
      </c>
      <c r="L322" s="22">
        <v>466.78</v>
      </c>
      <c r="M322" s="22">
        <v>466.78</v>
      </c>
      <c r="N322" s="2" t="s">
        <v>1140</v>
      </c>
      <c r="O322" s="7">
        <v>0</v>
      </c>
      <c r="P322" s="7"/>
      <c r="Q322" s="7"/>
      <c r="R322" s="7"/>
      <c r="S322" s="7"/>
      <c r="T322" s="7"/>
      <c r="U322" s="7"/>
      <c r="V322" s="7"/>
      <c r="W322" s="7"/>
      <c r="X322" s="7"/>
      <c r="Y322" s="7"/>
      <c r="Z322" s="7"/>
      <c r="AA322" s="7"/>
      <c r="AB322" s="7"/>
      <c r="AC322" s="7"/>
      <c r="AD322" s="7"/>
      <c r="AE322" s="7"/>
      <c r="AF322" s="7"/>
      <c r="AG322" s="7">
        <v>51.35</v>
      </c>
      <c r="AH322" s="7">
        <v>415.43</v>
      </c>
      <c r="AI322" s="7"/>
      <c r="AJ322" s="7"/>
      <c r="AK322" s="7"/>
      <c r="AL322" s="7"/>
      <c r="AM322" s="7"/>
      <c r="AN322" s="7"/>
      <c r="AO322" s="7"/>
      <c r="AP322" s="7"/>
      <c r="AQ322" s="7"/>
      <c r="AR322" s="7"/>
      <c r="AS322" s="7"/>
      <c r="AT322" s="7"/>
      <c r="AU322" s="7"/>
      <c r="AV322" s="7"/>
      <c r="AW322" s="7"/>
      <c r="AX322" s="7"/>
      <c r="AY322" s="7"/>
      <c r="AZ322" s="7"/>
      <c r="BA322" s="7"/>
      <c r="BB322" s="7"/>
      <c r="BC322" s="7"/>
      <c r="BD322" s="7"/>
      <c r="BE322" s="7"/>
      <c r="BF322" s="7"/>
      <c r="BG322" s="7"/>
      <c r="BH322" s="7"/>
      <c r="BI322" s="7"/>
      <c r="BJ322" s="7"/>
      <c r="BK322" s="7"/>
      <c r="BL322" s="7"/>
      <c r="BM322" s="7"/>
      <c r="BN322" s="7"/>
      <c r="BO322" s="7"/>
      <c r="BP322" s="7"/>
      <c r="BQ322" s="7"/>
      <c r="BR322" s="7"/>
      <c r="BS322" s="7"/>
      <c r="BT322" s="7"/>
      <c r="BU322" s="7"/>
      <c r="BV322" s="7"/>
      <c r="BW322" s="2"/>
      <c r="BX322" s="8">
        <v>46022</v>
      </c>
      <c r="BY322" s="8"/>
      <c r="BZ322" s="2"/>
      <c r="CA322" s="14">
        <f t="shared" ref="CA322:CA332" si="36">SUM(O322:BV322)</f>
        <v>466.78000000000003</v>
      </c>
      <c r="CB322" s="2" t="str">
        <f t="shared" ref="CB322:CB332" si="37">IF(M322=CA322,"OK","CORRIGIR")</f>
        <v>OK</v>
      </c>
      <c r="CC322" s="13">
        <f t="shared" ref="CC322:CC332" si="38">M322-CA322</f>
        <v>0</v>
      </c>
    </row>
    <row r="323" spans="1:81" s="9" customFormat="1" ht="106.5" hidden="1" customHeight="1" x14ac:dyDescent="0.25">
      <c r="A323" s="2" t="s">
        <v>1548</v>
      </c>
      <c r="B323" s="2" t="s">
        <v>805</v>
      </c>
      <c r="C323" s="2" t="s">
        <v>681</v>
      </c>
      <c r="D323" s="12" t="s">
        <v>806</v>
      </c>
      <c r="E323" s="2"/>
      <c r="F323" s="2" t="s">
        <v>65</v>
      </c>
      <c r="G323" s="2" t="s">
        <v>2038</v>
      </c>
      <c r="H323" s="2" t="s">
        <v>66</v>
      </c>
      <c r="I323" s="2" t="s">
        <v>686</v>
      </c>
      <c r="J323" s="2" t="s">
        <v>1618</v>
      </c>
      <c r="K323" s="2" t="s">
        <v>67</v>
      </c>
      <c r="L323" s="22">
        <v>445.53</v>
      </c>
      <c r="M323" s="22">
        <v>445.53</v>
      </c>
      <c r="N323" s="2" t="s">
        <v>1140</v>
      </c>
      <c r="O323" s="7">
        <v>0</v>
      </c>
      <c r="P323" s="7"/>
      <c r="Q323" s="7"/>
      <c r="R323" s="7"/>
      <c r="S323" s="7"/>
      <c r="T323" s="7"/>
      <c r="U323" s="7"/>
      <c r="V323" s="7"/>
      <c r="W323" s="7"/>
      <c r="X323" s="7"/>
      <c r="Y323" s="7"/>
      <c r="Z323" s="7"/>
      <c r="AA323" s="7"/>
      <c r="AB323" s="7"/>
      <c r="AC323" s="7"/>
      <c r="AD323" s="7"/>
      <c r="AE323" s="7"/>
      <c r="AF323" s="7"/>
      <c r="AG323" s="7">
        <f>445.53/2</f>
        <v>222.76499999999999</v>
      </c>
      <c r="AH323" s="7">
        <f>445.53/2</f>
        <v>222.76499999999999</v>
      </c>
      <c r="AI323" s="7"/>
      <c r="AJ323" s="7"/>
      <c r="AK323" s="7"/>
      <c r="AL323" s="7"/>
      <c r="AM323" s="7"/>
      <c r="AN323" s="7"/>
      <c r="AO323" s="7"/>
      <c r="AP323" s="7"/>
      <c r="AQ323" s="7"/>
      <c r="AR323" s="7"/>
      <c r="AS323" s="7"/>
      <c r="AT323" s="7"/>
      <c r="AU323" s="7"/>
      <c r="AV323" s="7"/>
      <c r="AW323" s="7"/>
      <c r="AX323" s="7"/>
      <c r="AY323" s="7"/>
      <c r="AZ323" s="7"/>
      <c r="BA323" s="7"/>
      <c r="BB323" s="7"/>
      <c r="BC323" s="7"/>
      <c r="BD323" s="7"/>
      <c r="BE323" s="7"/>
      <c r="BF323" s="7"/>
      <c r="BG323" s="7"/>
      <c r="BH323" s="7"/>
      <c r="BI323" s="7"/>
      <c r="BJ323" s="7"/>
      <c r="BK323" s="7"/>
      <c r="BL323" s="7"/>
      <c r="BM323" s="7"/>
      <c r="BN323" s="7"/>
      <c r="BO323" s="7"/>
      <c r="BP323" s="7"/>
      <c r="BQ323" s="7"/>
      <c r="BR323" s="7"/>
      <c r="BS323" s="7"/>
      <c r="BT323" s="7"/>
      <c r="BU323" s="7"/>
      <c r="BV323" s="7"/>
      <c r="BW323" s="2"/>
      <c r="BX323" s="8">
        <v>46022</v>
      </c>
      <c r="BY323" s="8"/>
      <c r="BZ323" s="2"/>
      <c r="CA323" s="14">
        <f t="shared" si="36"/>
        <v>445.53</v>
      </c>
      <c r="CB323" s="2" t="str">
        <f t="shared" si="37"/>
        <v>OK</v>
      </c>
      <c r="CC323" s="13">
        <f t="shared" si="38"/>
        <v>0</v>
      </c>
    </row>
    <row r="324" spans="1:81" s="9" customFormat="1" ht="110.1" hidden="1" customHeight="1" x14ac:dyDescent="0.25">
      <c r="A324" s="2" t="s">
        <v>1585</v>
      </c>
      <c r="B324" s="2" t="s">
        <v>760</v>
      </c>
      <c r="C324" s="2" t="s">
        <v>681</v>
      </c>
      <c r="D324" s="12" t="s">
        <v>761</v>
      </c>
      <c r="E324" s="2"/>
      <c r="F324" s="2" t="s">
        <v>65</v>
      </c>
      <c r="G324" s="2" t="s">
        <v>2038</v>
      </c>
      <c r="H324" s="2" t="s">
        <v>66</v>
      </c>
      <c r="I324" s="2" t="s">
        <v>686</v>
      </c>
      <c r="J324" s="2" t="s">
        <v>1618</v>
      </c>
      <c r="K324" s="2" t="s">
        <v>67</v>
      </c>
      <c r="L324" s="22">
        <v>424</v>
      </c>
      <c r="M324" s="22">
        <v>424</v>
      </c>
      <c r="N324" s="2" t="s">
        <v>1140</v>
      </c>
      <c r="O324" s="7">
        <v>0</v>
      </c>
      <c r="P324" s="7"/>
      <c r="Q324" s="7"/>
      <c r="R324" s="7"/>
      <c r="S324" s="7"/>
      <c r="T324" s="7"/>
      <c r="U324" s="7"/>
      <c r="V324" s="7"/>
      <c r="W324" s="7"/>
      <c r="X324" s="7"/>
      <c r="Y324" s="7"/>
      <c r="Z324" s="7"/>
      <c r="AA324" s="7"/>
      <c r="AB324" s="7"/>
      <c r="AC324" s="7"/>
      <c r="AD324" s="7"/>
      <c r="AE324" s="7"/>
      <c r="AF324" s="7"/>
      <c r="AG324" s="7">
        <f>424/2</f>
        <v>212</v>
      </c>
      <c r="AH324" s="7">
        <f>424/2</f>
        <v>212</v>
      </c>
      <c r="AI324" s="7"/>
      <c r="AJ324" s="7"/>
      <c r="AK324" s="7"/>
      <c r="AL324" s="7"/>
      <c r="AM324" s="7"/>
      <c r="AN324" s="7"/>
      <c r="AO324" s="7"/>
      <c r="AP324" s="7"/>
      <c r="AQ324" s="7"/>
      <c r="AR324" s="7"/>
      <c r="AS324" s="7"/>
      <c r="AT324" s="7"/>
      <c r="AU324" s="7"/>
      <c r="AV324" s="7"/>
      <c r="AW324" s="7"/>
      <c r="AX324" s="7"/>
      <c r="AY324" s="7"/>
      <c r="AZ324" s="7"/>
      <c r="BA324" s="7"/>
      <c r="BB324" s="7"/>
      <c r="BC324" s="7"/>
      <c r="BD324" s="7"/>
      <c r="BE324" s="7"/>
      <c r="BF324" s="7"/>
      <c r="BG324" s="7"/>
      <c r="BH324" s="7"/>
      <c r="BI324" s="7"/>
      <c r="BJ324" s="7"/>
      <c r="BK324" s="7"/>
      <c r="BL324" s="7"/>
      <c r="BM324" s="7"/>
      <c r="BN324" s="7"/>
      <c r="BO324" s="7"/>
      <c r="BP324" s="7"/>
      <c r="BQ324" s="7"/>
      <c r="BR324" s="7"/>
      <c r="BS324" s="7"/>
      <c r="BT324" s="7"/>
      <c r="BU324" s="7"/>
      <c r="BV324" s="7"/>
      <c r="BW324" s="2"/>
      <c r="BX324" s="8">
        <v>46022</v>
      </c>
      <c r="BY324" s="8"/>
      <c r="BZ324" s="2" t="s">
        <v>1780</v>
      </c>
      <c r="CA324" s="14">
        <f t="shared" si="36"/>
        <v>424</v>
      </c>
      <c r="CB324" s="2" t="str">
        <f t="shared" si="37"/>
        <v>OK</v>
      </c>
      <c r="CC324" s="13">
        <f t="shared" si="38"/>
        <v>0</v>
      </c>
    </row>
    <row r="325" spans="1:81" s="9" customFormat="1" ht="90" hidden="1" x14ac:dyDescent="0.25">
      <c r="A325" s="2" t="s">
        <v>1587</v>
      </c>
      <c r="B325" s="2" t="s">
        <v>775</v>
      </c>
      <c r="C325" s="2" t="s">
        <v>681</v>
      </c>
      <c r="D325" s="12" t="s">
        <v>776</v>
      </c>
      <c r="E325" s="2"/>
      <c r="F325" s="2" t="s">
        <v>65</v>
      </c>
      <c r="G325" s="2" t="s">
        <v>2038</v>
      </c>
      <c r="H325" s="2" t="s">
        <v>66</v>
      </c>
      <c r="I325" s="2" t="s">
        <v>686</v>
      </c>
      <c r="J325" s="2" t="s">
        <v>1618</v>
      </c>
      <c r="K325" s="2" t="s">
        <v>67</v>
      </c>
      <c r="L325" s="22">
        <v>381.24</v>
      </c>
      <c r="M325" s="22">
        <v>381.24</v>
      </c>
      <c r="N325" s="2" t="s">
        <v>1140</v>
      </c>
      <c r="O325" s="7">
        <v>0</v>
      </c>
      <c r="P325" s="7"/>
      <c r="Q325" s="7"/>
      <c r="R325" s="7"/>
      <c r="S325" s="7"/>
      <c r="T325" s="7"/>
      <c r="U325" s="7"/>
      <c r="V325" s="7"/>
      <c r="W325" s="7"/>
      <c r="X325" s="7"/>
      <c r="Y325" s="7"/>
      <c r="Z325" s="7"/>
      <c r="AA325" s="7"/>
      <c r="AB325" s="7"/>
      <c r="AC325" s="7"/>
      <c r="AD325" s="7"/>
      <c r="AE325" s="7"/>
      <c r="AF325" s="7"/>
      <c r="AG325" s="7">
        <f>381.24/2</f>
        <v>190.62</v>
      </c>
      <c r="AH325" s="7">
        <f>381.24/2</f>
        <v>190.62</v>
      </c>
      <c r="AI325" s="7"/>
      <c r="AJ325" s="7"/>
      <c r="AK325" s="7"/>
      <c r="AL325" s="7"/>
      <c r="AM325" s="7"/>
      <c r="AN325" s="7"/>
      <c r="AO325" s="7"/>
      <c r="AP325" s="7"/>
      <c r="AQ325" s="7"/>
      <c r="AR325" s="7"/>
      <c r="AS325" s="7"/>
      <c r="AT325" s="7"/>
      <c r="AU325" s="7"/>
      <c r="AV325" s="7"/>
      <c r="AW325" s="7"/>
      <c r="AX325" s="7"/>
      <c r="AY325" s="7"/>
      <c r="AZ325" s="7"/>
      <c r="BA325" s="7"/>
      <c r="BB325" s="7"/>
      <c r="BC325" s="7"/>
      <c r="BD325" s="7"/>
      <c r="BE325" s="7"/>
      <c r="BF325" s="7"/>
      <c r="BG325" s="7"/>
      <c r="BH325" s="7"/>
      <c r="BI325" s="7"/>
      <c r="BJ325" s="7"/>
      <c r="BK325" s="7"/>
      <c r="BL325" s="7"/>
      <c r="BM325" s="7"/>
      <c r="BN325" s="7"/>
      <c r="BO325" s="7"/>
      <c r="BP325" s="7"/>
      <c r="BQ325" s="7"/>
      <c r="BR325" s="7"/>
      <c r="BS325" s="7"/>
      <c r="BT325" s="7"/>
      <c r="BU325" s="7"/>
      <c r="BV325" s="7"/>
      <c r="BW325" s="2"/>
      <c r="BX325" s="8">
        <v>46022</v>
      </c>
      <c r="BY325" s="8"/>
      <c r="BZ325" s="2" t="s">
        <v>1780</v>
      </c>
      <c r="CA325" s="14">
        <f t="shared" si="36"/>
        <v>381.24</v>
      </c>
      <c r="CB325" s="2" t="str">
        <f t="shared" si="37"/>
        <v>OK</v>
      </c>
      <c r="CC325" s="13">
        <f t="shared" si="38"/>
        <v>0</v>
      </c>
    </row>
    <row r="326" spans="1:81" s="9" customFormat="1" ht="105.75" hidden="1" customHeight="1" x14ac:dyDescent="0.25">
      <c r="A326" s="2" t="s">
        <v>1588</v>
      </c>
      <c r="B326" s="2" t="s">
        <v>791</v>
      </c>
      <c r="C326" s="2" t="s">
        <v>681</v>
      </c>
      <c r="D326" s="12" t="s">
        <v>792</v>
      </c>
      <c r="E326" s="2"/>
      <c r="F326" s="2" t="s">
        <v>65</v>
      </c>
      <c r="G326" s="2" t="s">
        <v>2038</v>
      </c>
      <c r="H326" s="2" t="s">
        <v>66</v>
      </c>
      <c r="I326" s="2" t="s">
        <v>686</v>
      </c>
      <c r="J326" s="2" t="s">
        <v>1618</v>
      </c>
      <c r="K326" s="2" t="s">
        <v>67</v>
      </c>
      <c r="L326" s="22">
        <v>325.49</v>
      </c>
      <c r="M326" s="22">
        <v>325.49</v>
      </c>
      <c r="N326" s="2" t="s">
        <v>1140</v>
      </c>
      <c r="O326" s="7">
        <v>0</v>
      </c>
      <c r="P326" s="7"/>
      <c r="Q326" s="7"/>
      <c r="R326" s="7"/>
      <c r="S326" s="7"/>
      <c r="T326" s="7"/>
      <c r="U326" s="7"/>
      <c r="V326" s="7"/>
      <c r="W326" s="7"/>
      <c r="X326" s="7"/>
      <c r="Y326" s="7"/>
      <c r="Z326" s="7"/>
      <c r="AA326" s="7"/>
      <c r="AB326" s="7"/>
      <c r="AC326" s="7"/>
      <c r="AD326" s="7"/>
      <c r="AE326" s="7"/>
      <c r="AF326" s="7"/>
      <c r="AG326" s="7">
        <v>169.25</v>
      </c>
      <c r="AH326" s="7">
        <v>156.24</v>
      </c>
      <c r="AI326" s="7"/>
      <c r="AJ326" s="7"/>
      <c r="AK326" s="7"/>
      <c r="AL326" s="7"/>
      <c r="AM326" s="7"/>
      <c r="AN326" s="7"/>
      <c r="AO326" s="7"/>
      <c r="AP326" s="7"/>
      <c r="AQ326" s="7"/>
      <c r="AR326" s="7"/>
      <c r="AS326" s="7"/>
      <c r="AT326" s="7"/>
      <c r="AU326" s="7"/>
      <c r="AV326" s="7"/>
      <c r="AW326" s="7"/>
      <c r="AX326" s="7"/>
      <c r="AY326" s="7"/>
      <c r="AZ326" s="7"/>
      <c r="BA326" s="7"/>
      <c r="BB326" s="7"/>
      <c r="BC326" s="7"/>
      <c r="BD326" s="7"/>
      <c r="BE326" s="7"/>
      <c r="BF326" s="7"/>
      <c r="BG326" s="7"/>
      <c r="BH326" s="7"/>
      <c r="BI326" s="7"/>
      <c r="BJ326" s="7"/>
      <c r="BK326" s="7"/>
      <c r="BL326" s="7"/>
      <c r="BM326" s="7"/>
      <c r="BN326" s="7"/>
      <c r="BO326" s="7"/>
      <c r="BP326" s="7"/>
      <c r="BQ326" s="7"/>
      <c r="BR326" s="7"/>
      <c r="BS326" s="7"/>
      <c r="BT326" s="7"/>
      <c r="BU326" s="7"/>
      <c r="BV326" s="7"/>
      <c r="BW326" s="2"/>
      <c r="BX326" s="8">
        <v>46022</v>
      </c>
      <c r="BY326" s="8"/>
      <c r="BZ326" s="8"/>
      <c r="CA326" s="14">
        <f t="shared" si="36"/>
        <v>325.49</v>
      </c>
      <c r="CB326" s="2" t="str">
        <f t="shared" si="37"/>
        <v>OK</v>
      </c>
      <c r="CC326" s="13">
        <f t="shared" si="38"/>
        <v>0</v>
      </c>
    </row>
    <row r="327" spans="1:81" s="9" customFormat="1" ht="100.5" hidden="1" customHeight="1" x14ac:dyDescent="0.25">
      <c r="A327" s="2" t="s">
        <v>1589</v>
      </c>
      <c r="B327" s="2" t="s">
        <v>771</v>
      </c>
      <c r="C327" s="2" t="s">
        <v>681</v>
      </c>
      <c r="D327" s="12" t="s">
        <v>772</v>
      </c>
      <c r="E327" s="2"/>
      <c r="F327" s="2" t="s">
        <v>65</v>
      </c>
      <c r="G327" s="2" t="s">
        <v>2038</v>
      </c>
      <c r="H327" s="2" t="s">
        <v>66</v>
      </c>
      <c r="I327" s="2" t="s">
        <v>686</v>
      </c>
      <c r="J327" s="2" t="s">
        <v>1618</v>
      </c>
      <c r="K327" s="2" t="s">
        <v>67</v>
      </c>
      <c r="L327" s="22">
        <v>259.39</v>
      </c>
      <c r="M327" s="22">
        <v>259.39</v>
      </c>
      <c r="N327" s="2" t="s">
        <v>1140</v>
      </c>
      <c r="O327" s="7">
        <v>0</v>
      </c>
      <c r="P327" s="7"/>
      <c r="Q327" s="7"/>
      <c r="R327" s="7"/>
      <c r="S327" s="7"/>
      <c r="T327" s="7"/>
      <c r="U327" s="7"/>
      <c r="V327" s="7"/>
      <c r="W327" s="7"/>
      <c r="X327" s="7"/>
      <c r="Y327" s="7"/>
      <c r="Z327" s="7"/>
      <c r="AA327" s="7"/>
      <c r="AB327" s="7"/>
      <c r="AC327" s="7"/>
      <c r="AD327" s="7"/>
      <c r="AE327" s="7"/>
      <c r="AF327" s="7"/>
      <c r="AG327" s="7">
        <f>259.39/2</f>
        <v>129.69499999999999</v>
      </c>
      <c r="AH327" s="7">
        <f>259.39/2</f>
        <v>129.69499999999999</v>
      </c>
      <c r="AI327" s="7"/>
      <c r="AJ327" s="7"/>
      <c r="AK327" s="7"/>
      <c r="AL327" s="7"/>
      <c r="AM327" s="7"/>
      <c r="AN327" s="7"/>
      <c r="AO327" s="7"/>
      <c r="AP327" s="7"/>
      <c r="AQ327" s="7"/>
      <c r="AR327" s="7"/>
      <c r="AS327" s="7"/>
      <c r="AT327" s="7"/>
      <c r="AU327" s="7"/>
      <c r="AV327" s="7"/>
      <c r="AW327" s="7"/>
      <c r="AX327" s="7"/>
      <c r="AY327" s="7"/>
      <c r="AZ327" s="7"/>
      <c r="BA327" s="7"/>
      <c r="BB327" s="7"/>
      <c r="BC327" s="7"/>
      <c r="BD327" s="7"/>
      <c r="BE327" s="7"/>
      <c r="BF327" s="7"/>
      <c r="BG327" s="7"/>
      <c r="BH327" s="7"/>
      <c r="BI327" s="7"/>
      <c r="BJ327" s="7"/>
      <c r="BK327" s="7"/>
      <c r="BL327" s="7"/>
      <c r="BM327" s="7"/>
      <c r="BN327" s="7"/>
      <c r="BO327" s="7"/>
      <c r="BP327" s="7"/>
      <c r="BQ327" s="7"/>
      <c r="BR327" s="7"/>
      <c r="BS327" s="7"/>
      <c r="BT327" s="7"/>
      <c r="BU327" s="7"/>
      <c r="BV327" s="7"/>
      <c r="BW327" s="2"/>
      <c r="BX327" s="8">
        <v>46022</v>
      </c>
      <c r="BY327" s="8"/>
      <c r="BZ327" s="8"/>
      <c r="CA327" s="14">
        <f t="shared" si="36"/>
        <v>259.39</v>
      </c>
      <c r="CB327" s="2" t="str">
        <f t="shared" si="37"/>
        <v>OK</v>
      </c>
      <c r="CC327" s="13">
        <f t="shared" si="38"/>
        <v>0</v>
      </c>
    </row>
    <row r="328" spans="1:81" s="9" customFormat="1" ht="108" hidden="1" customHeight="1" x14ac:dyDescent="0.25">
      <c r="A328" s="2" t="s">
        <v>1590</v>
      </c>
      <c r="B328" s="2" t="s">
        <v>769</v>
      </c>
      <c r="C328" s="2" t="s">
        <v>681</v>
      </c>
      <c r="D328" s="12" t="s">
        <v>770</v>
      </c>
      <c r="E328" s="2"/>
      <c r="F328" s="2" t="s">
        <v>65</v>
      </c>
      <c r="G328" s="2" t="s">
        <v>2038</v>
      </c>
      <c r="H328" s="2" t="s">
        <v>66</v>
      </c>
      <c r="I328" s="2" t="s">
        <v>686</v>
      </c>
      <c r="J328" s="2" t="s">
        <v>1618</v>
      </c>
      <c r="K328" s="2" t="s">
        <v>67</v>
      </c>
      <c r="L328" s="22">
        <v>171.11</v>
      </c>
      <c r="M328" s="22">
        <v>171.11</v>
      </c>
      <c r="N328" s="2" t="s">
        <v>1140</v>
      </c>
      <c r="O328" s="7">
        <v>0</v>
      </c>
      <c r="P328" s="7"/>
      <c r="Q328" s="7"/>
      <c r="R328" s="7"/>
      <c r="S328" s="7"/>
      <c r="T328" s="7"/>
      <c r="U328" s="7"/>
      <c r="V328" s="7"/>
      <c r="W328" s="7"/>
      <c r="X328" s="7"/>
      <c r="Y328" s="7"/>
      <c r="Z328" s="7"/>
      <c r="AA328" s="7"/>
      <c r="AB328" s="7"/>
      <c r="AC328" s="7"/>
      <c r="AD328" s="7"/>
      <c r="AE328" s="7"/>
      <c r="AF328" s="7"/>
      <c r="AG328" s="7">
        <v>112.92</v>
      </c>
      <c r="AH328" s="7">
        <v>58.19</v>
      </c>
      <c r="AI328" s="7"/>
      <c r="AJ328" s="7"/>
      <c r="AK328" s="7"/>
      <c r="AL328" s="7"/>
      <c r="AM328" s="7"/>
      <c r="AN328" s="7"/>
      <c r="AO328" s="7"/>
      <c r="AP328" s="7"/>
      <c r="AQ328" s="7"/>
      <c r="AR328" s="7"/>
      <c r="AS328" s="7"/>
      <c r="AT328" s="7"/>
      <c r="AU328" s="7"/>
      <c r="AV328" s="7"/>
      <c r="AW328" s="7"/>
      <c r="AX328" s="7"/>
      <c r="AY328" s="7"/>
      <c r="AZ328" s="7"/>
      <c r="BA328" s="7"/>
      <c r="BB328" s="7"/>
      <c r="BC328" s="7"/>
      <c r="BD328" s="7"/>
      <c r="BE328" s="7"/>
      <c r="BF328" s="7"/>
      <c r="BG328" s="7"/>
      <c r="BH328" s="7"/>
      <c r="BI328" s="7"/>
      <c r="BJ328" s="7"/>
      <c r="BK328" s="7"/>
      <c r="BL328" s="7"/>
      <c r="BM328" s="7"/>
      <c r="BN328" s="7"/>
      <c r="BO328" s="7"/>
      <c r="BP328" s="7"/>
      <c r="BQ328" s="7"/>
      <c r="BR328" s="7"/>
      <c r="BS328" s="7"/>
      <c r="BT328" s="7"/>
      <c r="BU328" s="7"/>
      <c r="BV328" s="7"/>
      <c r="BW328" s="2"/>
      <c r="BX328" s="8">
        <v>46022</v>
      </c>
      <c r="BY328" s="8"/>
      <c r="BZ328" s="2"/>
      <c r="CA328" s="14">
        <f t="shared" si="36"/>
        <v>171.11</v>
      </c>
      <c r="CB328" s="2" t="str">
        <f t="shared" si="37"/>
        <v>OK</v>
      </c>
      <c r="CC328" s="13">
        <f t="shared" si="38"/>
        <v>0</v>
      </c>
    </row>
    <row r="329" spans="1:81" s="9" customFormat="1" ht="99" hidden="1" customHeight="1" x14ac:dyDescent="0.25">
      <c r="A329" s="2" t="s">
        <v>1595</v>
      </c>
      <c r="B329" s="2" t="s">
        <v>706</v>
      </c>
      <c r="C329" s="2" t="s">
        <v>681</v>
      </c>
      <c r="D329" s="12" t="s">
        <v>707</v>
      </c>
      <c r="E329" s="2"/>
      <c r="F329" s="2" t="s">
        <v>65</v>
      </c>
      <c r="G329" s="2" t="s">
        <v>2038</v>
      </c>
      <c r="H329" s="2" t="s">
        <v>66</v>
      </c>
      <c r="I329" s="2" t="s">
        <v>686</v>
      </c>
      <c r="J329" s="2" t="s">
        <v>1618</v>
      </c>
      <c r="K329" s="2" t="s">
        <v>67</v>
      </c>
      <c r="L329" s="22">
        <v>132</v>
      </c>
      <c r="M329" s="22">
        <v>132</v>
      </c>
      <c r="N329" s="2" t="s">
        <v>1140</v>
      </c>
      <c r="O329" s="7">
        <v>0</v>
      </c>
      <c r="P329" s="7"/>
      <c r="Q329" s="7"/>
      <c r="R329" s="7"/>
      <c r="S329" s="7"/>
      <c r="T329" s="7"/>
      <c r="U329" s="7"/>
      <c r="V329" s="7"/>
      <c r="W329" s="7"/>
      <c r="X329" s="7"/>
      <c r="Y329" s="7"/>
      <c r="Z329" s="7"/>
      <c r="AA329" s="7"/>
      <c r="AB329" s="7"/>
      <c r="AC329" s="7"/>
      <c r="AD329" s="7"/>
      <c r="AE329" s="7"/>
      <c r="AF329" s="7"/>
      <c r="AG329" s="7">
        <v>66</v>
      </c>
      <c r="AH329" s="7">
        <v>66</v>
      </c>
      <c r="AI329" s="7"/>
      <c r="AJ329" s="7"/>
      <c r="AK329" s="7"/>
      <c r="AL329" s="7"/>
      <c r="AM329" s="7"/>
      <c r="AN329" s="7"/>
      <c r="AO329" s="7"/>
      <c r="AP329" s="7"/>
      <c r="AQ329" s="7"/>
      <c r="AR329" s="7"/>
      <c r="AS329" s="7"/>
      <c r="AT329" s="7"/>
      <c r="AU329" s="7"/>
      <c r="AV329" s="7"/>
      <c r="AW329" s="7"/>
      <c r="AX329" s="7"/>
      <c r="AY329" s="7"/>
      <c r="AZ329" s="7"/>
      <c r="BA329" s="7"/>
      <c r="BB329" s="7"/>
      <c r="BC329" s="7"/>
      <c r="BD329" s="7"/>
      <c r="BE329" s="7"/>
      <c r="BF329" s="7"/>
      <c r="BG329" s="7"/>
      <c r="BH329" s="7"/>
      <c r="BI329" s="7"/>
      <c r="BJ329" s="7"/>
      <c r="BK329" s="7"/>
      <c r="BL329" s="7"/>
      <c r="BM329" s="7"/>
      <c r="BN329" s="7"/>
      <c r="BO329" s="7"/>
      <c r="BP329" s="7"/>
      <c r="BQ329" s="7"/>
      <c r="BR329" s="7"/>
      <c r="BS329" s="7"/>
      <c r="BT329" s="7"/>
      <c r="BU329" s="7"/>
      <c r="BV329" s="7"/>
      <c r="BW329" s="2"/>
      <c r="BX329" s="8">
        <v>46022</v>
      </c>
      <c r="BY329" s="8"/>
      <c r="BZ329" s="2"/>
      <c r="CA329" s="14">
        <f t="shared" si="36"/>
        <v>132</v>
      </c>
      <c r="CB329" s="2" t="str">
        <f t="shared" si="37"/>
        <v>OK</v>
      </c>
      <c r="CC329" s="13">
        <f t="shared" si="38"/>
        <v>0</v>
      </c>
    </row>
    <row r="330" spans="1:81" s="9" customFormat="1" ht="125.25" hidden="1" customHeight="1" x14ac:dyDescent="0.25">
      <c r="A330" s="2" t="s">
        <v>1596</v>
      </c>
      <c r="B330" s="2" t="s">
        <v>781</v>
      </c>
      <c r="C330" s="2" t="s">
        <v>681</v>
      </c>
      <c r="D330" s="12" t="s">
        <v>782</v>
      </c>
      <c r="E330" s="2"/>
      <c r="F330" s="2" t="s">
        <v>65</v>
      </c>
      <c r="G330" s="2" t="s">
        <v>2038</v>
      </c>
      <c r="H330" s="2" t="s">
        <v>66</v>
      </c>
      <c r="I330" s="2" t="s">
        <v>686</v>
      </c>
      <c r="J330" s="2" t="s">
        <v>1618</v>
      </c>
      <c r="K330" s="2" t="s">
        <v>67</v>
      </c>
      <c r="L330" s="22">
        <v>59.8</v>
      </c>
      <c r="M330" s="22">
        <v>59.8</v>
      </c>
      <c r="N330" s="2" t="s">
        <v>1140</v>
      </c>
      <c r="O330" s="7"/>
      <c r="P330" s="7"/>
      <c r="Q330" s="7"/>
      <c r="R330" s="7"/>
      <c r="S330" s="7"/>
      <c r="T330" s="7"/>
      <c r="U330" s="7"/>
      <c r="V330" s="7"/>
      <c r="W330" s="7"/>
      <c r="X330" s="7"/>
      <c r="Y330" s="7"/>
      <c r="Z330" s="7"/>
      <c r="AA330" s="7"/>
      <c r="AB330" s="7"/>
      <c r="AC330" s="7"/>
      <c r="AD330" s="7"/>
      <c r="AE330" s="7"/>
      <c r="AF330" s="7"/>
      <c r="AG330" s="7">
        <v>29.9</v>
      </c>
      <c r="AH330" s="7">
        <v>29.9</v>
      </c>
      <c r="AI330" s="7"/>
      <c r="AJ330" s="7"/>
      <c r="AK330" s="7"/>
      <c r="AL330" s="7"/>
      <c r="AM330" s="7"/>
      <c r="AN330" s="7"/>
      <c r="AO330" s="7"/>
      <c r="AP330" s="7"/>
      <c r="AQ330" s="7"/>
      <c r="AR330" s="7"/>
      <c r="AS330" s="7"/>
      <c r="AT330" s="7"/>
      <c r="AU330" s="7"/>
      <c r="AV330" s="7"/>
      <c r="AW330" s="7"/>
      <c r="AX330" s="7"/>
      <c r="AY330" s="7"/>
      <c r="AZ330" s="7"/>
      <c r="BA330" s="7"/>
      <c r="BB330" s="7"/>
      <c r="BC330" s="7"/>
      <c r="BD330" s="7"/>
      <c r="BE330" s="7"/>
      <c r="BF330" s="7"/>
      <c r="BG330" s="7"/>
      <c r="BH330" s="7"/>
      <c r="BI330" s="7"/>
      <c r="BJ330" s="7"/>
      <c r="BK330" s="7">
        <v>0</v>
      </c>
      <c r="BL330" s="7"/>
      <c r="BM330" s="7"/>
      <c r="BN330" s="7"/>
      <c r="BO330" s="7"/>
      <c r="BP330" s="7"/>
      <c r="BQ330" s="7"/>
      <c r="BR330" s="7"/>
      <c r="BS330" s="7"/>
      <c r="BT330" s="7"/>
      <c r="BU330" s="7"/>
      <c r="BV330" s="7"/>
      <c r="BW330" s="2"/>
      <c r="BX330" s="8">
        <v>46022</v>
      </c>
      <c r="BY330" s="8"/>
      <c r="BZ330" s="2" t="s">
        <v>1780</v>
      </c>
      <c r="CA330" s="14">
        <f t="shared" si="36"/>
        <v>59.8</v>
      </c>
      <c r="CB330" s="2" t="str">
        <f t="shared" si="37"/>
        <v>OK</v>
      </c>
      <c r="CC330" s="13">
        <f t="shared" si="38"/>
        <v>0</v>
      </c>
    </row>
    <row r="331" spans="1:81" s="9" customFormat="1" ht="110.1" hidden="1" customHeight="1" x14ac:dyDescent="0.25">
      <c r="A331" s="2" t="s">
        <v>1597</v>
      </c>
      <c r="B331" s="2" t="s">
        <v>773</v>
      </c>
      <c r="C331" s="2" t="s">
        <v>681</v>
      </c>
      <c r="D331" s="12" t="s">
        <v>774</v>
      </c>
      <c r="E331" s="2"/>
      <c r="F331" s="2" t="s">
        <v>65</v>
      </c>
      <c r="G331" s="2" t="s">
        <v>2038</v>
      </c>
      <c r="H331" s="2" t="s">
        <v>66</v>
      </c>
      <c r="I331" s="2" t="s">
        <v>686</v>
      </c>
      <c r="J331" s="2" t="s">
        <v>1618</v>
      </c>
      <c r="K331" s="2" t="s">
        <v>67</v>
      </c>
      <c r="L331" s="22">
        <v>23.32</v>
      </c>
      <c r="M331" s="22">
        <v>23.32</v>
      </c>
      <c r="N331" s="2" t="s">
        <v>1140</v>
      </c>
      <c r="O331" s="7">
        <v>0</v>
      </c>
      <c r="P331" s="7"/>
      <c r="Q331" s="7"/>
      <c r="R331" s="7"/>
      <c r="S331" s="7"/>
      <c r="T331" s="7"/>
      <c r="U331" s="7"/>
      <c r="V331" s="7"/>
      <c r="W331" s="7"/>
      <c r="X331" s="7"/>
      <c r="Y331" s="7"/>
      <c r="Z331" s="7"/>
      <c r="AA331" s="7"/>
      <c r="AB331" s="7"/>
      <c r="AC331" s="7"/>
      <c r="AD331" s="7"/>
      <c r="AE331" s="7"/>
      <c r="AF331" s="7"/>
      <c r="AG331" s="7">
        <f>23.32/2</f>
        <v>11.66</v>
      </c>
      <c r="AH331" s="7">
        <f>23.32/2</f>
        <v>11.66</v>
      </c>
      <c r="AI331" s="7"/>
      <c r="AJ331" s="7"/>
      <c r="AK331" s="7"/>
      <c r="AL331" s="7"/>
      <c r="AM331" s="7"/>
      <c r="AN331" s="7"/>
      <c r="AO331" s="7"/>
      <c r="AP331" s="7"/>
      <c r="AQ331" s="7"/>
      <c r="AR331" s="7"/>
      <c r="AS331" s="7"/>
      <c r="AT331" s="7"/>
      <c r="AU331" s="7"/>
      <c r="AV331" s="7"/>
      <c r="AW331" s="7"/>
      <c r="AX331" s="7"/>
      <c r="AY331" s="7"/>
      <c r="AZ331" s="7"/>
      <c r="BA331" s="7"/>
      <c r="BB331" s="7"/>
      <c r="BC331" s="7"/>
      <c r="BD331" s="7"/>
      <c r="BE331" s="7"/>
      <c r="BF331" s="7"/>
      <c r="BG331" s="7"/>
      <c r="BH331" s="7"/>
      <c r="BI331" s="7"/>
      <c r="BJ331" s="7"/>
      <c r="BK331" s="7"/>
      <c r="BL331" s="7"/>
      <c r="BM331" s="7"/>
      <c r="BN331" s="7"/>
      <c r="BO331" s="7"/>
      <c r="BP331" s="7"/>
      <c r="BQ331" s="7"/>
      <c r="BR331" s="7"/>
      <c r="BS331" s="7"/>
      <c r="BT331" s="7"/>
      <c r="BU331" s="7"/>
      <c r="BV331" s="7"/>
      <c r="BW331" s="2"/>
      <c r="BX331" s="8">
        <v>46022</v>
      </c>
      <c r="BY331" s="8"/>
      <c r="BZ331" s="2" t="s">
        <v>1780</v>
      </c>
      <c r="CA331" s="14">
        <f t="shared" si="36"/>
        <v>23.32</v>
      </c>
      <c r="CB331" s="2" t="str">
        <f t="shared" si="37"/>
        <v>OK</v>
      </c>
      <c r="CC331" s="13">
        <f t="shared" si="38"/>
        <v>0</v>
      </c>
    </row>
    <row r="332" spans="1:81" s="9" customFormat="1" ht="97.5" hidden="1" customHeight="1" x14ac:dyDescent="0.25">
      <c r="A332" s="2" t="s">
        <v>1602</v>
      </c>
      <c r="B332" s="2" t="s">
        <v>708</v>
      </c>
      <c r="C332" s="2" t="s">
        <v>681</v>
      </c>
      <c r="D332" s="12" t="s">
        <v>709</v>
      </c>
      <c r="E332" s="2"/>
      <c r="F332" s="2" t="s">
        <v>65</v>
      </c>
      <c r="G332" s="2" t="s">
        <v>2038</v>
      </c>
      <c r="H332" s="2" t="s">
        <v>66</v>
      </c>
      <c r="I332" s="2" t="s">
        <v>686</v>
      </c>
      <c r="J332" s="2" t="s">
        <v>1618</v>
      </c>
      <c r="K332" s="2" t="s">
        <v>67</v>
      </c>
      <c r="L332" s="22">
        <v>21.78</v>
      </c>
      <c r="M332" s="22">
        <v>21.78</v>
      </c>
      <c r="N332" s="2" t="s">
        <v>1140</v>
      </c>
      <c r="O332" s="7">
        <v>0</v>
      </c>
      <c r="P332" s="7"/>
      <c r="Q332" s="7"/>
      <c r="R332" s="7"/>
      <c r="S332" s="7"/>
      <c r="T332" s="7"/>
      <c r="U332" s="7"/>
      <c r="V332" s="7"/>
      <c r="W332" s="7"/>
      <c r="X332" s="7"/>
      <c r="Y332" s="7"/>
      <c r="Z332" s="7"/>
      <c r="AA332" s="7"/>
      <c r="AB332" s="7"/>
      <c r="AC332" s="7"/>
      <c r="AD332" s="7"/>
      <c r="AE332" s="7"/>
      <c r="AF332" s="7"/>
      <c r="AG332" s="7">
        <v>10.89</v>
      </c>
      <c r="AH332" s="7">
        <v>10.89</v>
      </c>
      <c r="AI332" s="7"/>
      <c r="AJ332" s="7"/>
      <c r="AK332" s="7"/>
      <c r="AL332" s="7"/>
      <c r="AM332" s="7"/>
      <c r="AN332" s="7"/>
      <c r="AO332" s="7"/>
      <c r="AP332" s="7"/>
      <c r="AQ332" s="7"/>
      <c r="AR332" s="7"/>
      <c r="AS332" s="7"/>
      <c r="AT332" s="7"/>
      <c r="AU332" s="7"/>
      <c r="AV332" s="7"/>
      <c r="AW332" s="7"/>
      <c r="AX332" s="7"/>
      <c r="AY332" s="7"/>
      <c r="AZ332" s="7"/>
      <c r="BA332" s="7"/>
      <c r="BB332" s="7"/>
      <c r="BC332" s="7"/>
      <c r="BD332" s="7"/>
      <c r="BE332" s="7"/>
      <c r="BF332" s="7"/>
      <c r="BG332" s="7"/>
      <c r="BH332" s="7"/>
      <c r="BI332" s="7"/>
      <c r="BJ332" s="7"/>
      <c r="BK332" s="7"/>
      <c r="BL332" s="7"/>
      <c r="BM332" s="7"/>
      <c r="BN332" s="7"/>
      <c r="BO332" s="7"/>
      <c r="BP332" s="7"/>
      <c r="BQ332" s="7"/>
      <c r="BR332" s="7"/>
      <c r="BS332" s="7"/>
      <c r="BT332" s="7"/>
      <c r="BU332" s="7"/>
      <c r="BV332" s="7"/>
      <c r="BW332" s="2"/>
      <c r="BX332" s="8">
        <v>46022</v>
      </c>
      <c r="BY332" s="8"/>
      <c r="BZ332" s="2"/>
      <c r="CA332" s="14">
        <f t="shared" si="36"/>
        <v>21.78</v>
      </c>
      <c r="CB332" s="2" t="str">
        <f t="shared" si="37"/>
        <v>OK</v>
      </c>
      <c r="CC332" s="13">
        <f t="shared" si="38"/>
        <v>0</v>
      </c>
    </row>
    <row r="333" spans="1:81" s="9" customFormat="1" ht="97.5" hidden="1" customHeight="1" x14ac:dyDescent="0.25">
      <c r="A333" s="2" t="s">
        <v>1421</v>
      </c>
      <c r="B333" s="2" t="s">
        <v>901</v>
      </c>
      <c r="C333" s="2" t="s">
        <v>681</v>
      </c>
      <c r="D333" s="12" t="s">
        <v>902</v>
      </c>
      <c r="E333" s="2" t="s">
        <v>1781</v>
      </c>
      <c r="F333" s="2" t="s">
        <v>65</v>
      </c>
      <c r="G333" s="2" t="s">
        <v>2025</v>
      </c>
      <c r="H333" s="2" t="s">
        <v>294</v>
      </c>
      <c r="I333" s="2" t="s">
        <v>5</v>
      </c>
      <c r="J333" s="2">
        <v>1</v>
      </c>
      <c r="K333" s="2" t="s">
        <v>67</v>
      </c>
      <c r="L333" s="16">
        <v>674398.42</v>
      </c>
      <c r="M333" s="11">
        <v>674398.42</v>
      </c>
      <c r="N333" s="2" t="s">
        <v>14</v>
      </c>
      <c r="O333" s="7">
        <v>0</v>
      </c>
      <c r="P333" s="7"/>
      <c r="Q333" s="7"/>
      <c r="R333" s="7"/>
      <c r="S333" s="7"/>
      <c r="T333" s="7"/>
      <c r="U333" s="7"/>
      <c r="V333" s="7"/>
      <c r="W333" s="7"/>
      <c r="X333" s="7"/>
      <c r="Y333" s="7"/>
      <c r="Z333" s="7"/>
      <c r="AA333" s="7">
        <v>674398.42</v>
      </c>
      <c r="AB333" s="7"/>
      <c r="AC333" s="7"/>
      <c r="AD333" s="7"/>
      <c r="AE333" s="7"/>
      <c r="AF333" s="7"/>
      <c r="AG333" s="7"/>
      <c r="AH333" s="7"/>
      <c r="AI333" s="7"/>
      <c r="AJ333" s="7"/>
      <c r="AK333" s="7"/>
      <c r="AL333" s="7"/>
      <c r="AM333" s="7"/>
      <c r="AN333" s="7"/>
      <c r="AO333" s="7"/>
      <c r="AP333" s="7"/>
      <c r="AQ333" s="7"/>
      <c r="AR333" s="7"/>
      <c r="AS333" s="7"/>
      <c r="AT333" s="7"/>
      <c r="AU333" s="7"/>
      <c r="AV333" s="7"/>
      <c r="AW333" s="7"/>
      <c r="AX333" s="7"/>
      <c r="AY333" s="7"/>
      <c r="AZ333" s="7"/>
      <c r="BA333" s="7"/>
      <c r="BB333" s="7"/>
      <c r="BC333" s="7"/>
      <c r="BD333" s="7"/>
      <c r="BE333" s="7"/>
      <c r="BF333" s="7"/>
      <c r="BG333" s="7"/>
      <c r="BH333" s="7"/>
      <c r="BI333" s="7"/>
      <c r="BJ333" s="7"/>
      <c r="BK333" s="7"/>
      <c r="BL333" s="7"/>
      <c r="BM333" s="7"/>
      <c r="BN333" s="7"/>
      <c r="BO333" s="7"/>
      <c r="BP333" s="7"/>
      <c r="BQ333" s="7"/>
      <c r="BR333" s="7"/>
      <c r="BS333" s="7"/>
      <c r="BT333" s="7"/>
      <c r="BU333" s="7"/>
      <c r="BV333" s="7"/>
      <c r="BW333" s="8"/>
      <c r="BX333" s="8">
        <v>45663</v>
      </c>
      <c r="BY333" s="2"/>
      <c r="BZ333" s="2"/>
      <c r="CA333" s="14"/>
      <c r="CB333" s="2"/>
      <c r="CC333" s="13"/>
    </row>
    <row r="334" spans="1:81" s="9" customFormat="1" ht="97.5" hidden="1" customHeight="1" x14ac:dyDescent="0.25">
      <c r="A334" s="2" t="s">
        <v>1434</v>
      </c>
      <c r="B334" s="2" t="s">
        <v>938</v>
      </c>
      <c r="C334" s="2" t="s">
        <v>681</v>
      </c>
      <c r="D334" s="12" t="s">
        <v>939</v>
      </c>
      <c r="E334" s="12" t="s">
        <v>940</v>
      </c>
      <c r="F334" s="2" t="s">
        <v>65</v>
      </c>
      <c r="G334" s="2" t="s">
        <v>2025</v>
      </c>
      <c r="H334" s="2" t="s">
        <v>294</v>
      </c>
      <c r="I334" s="2" t="s">
        <v>5</v>
      </c>
      <c r="J334" s="2" t="s">
        <v>1675</v>
      </c>
      <c r="K334" s="2" t="s">
        <v>67</v>
      </c>
      <c r="L334" s="16">
        <v>351188.78</v>
      </c>
      <c r="M334" s="11">
        <v>351188.78</v>
      </c>
      <c r="N334" s="2" t="s">
        <v>1144</v>
      </c>
      <c r="O334" s="7">
        <v>0</v>
      </c>
      <c r="P334" s="7"/>
      <c r="Q334" s="7"/>
      <c r="R334" s="7"/>
      <c r="S334" s="7"/>
      <c r="T334" s="7"/>
      <c r="U334" s="7"/>
      <c r="V334" s="7"/>
      <c r="W334" s="7"/>
      <c r="X334" s="7"/>
      <c r="Y334" s="7"/>
      <c r="Z334" s="7"/>
      <c r="AA334" s="7"/>
      <c r="AB334" s="7"/>
      <c r="AC334" s="7"/>
      <c r="AD334" s="7"/>
      <c r="AE334" s="7"/>
      <c r="AF334" s="7"/>
      <c r="AG334" s="7">
        <f>M334</f>
        <v>351188.78</v>
      </c>
      <c r="AH334" s="7"/>
      <c r="AI334" s="7"/>
      <c r="AJ334" s="7"/>
      <c r="AK334" s="7"/>
      <c r="AL334" s="7"/>
      <c r="AM334" s="7"/>
      <c r="AN334" s="7"/>
      <c r="AO334" s="7"/>
      <c r="AP334" s="7"/>
      <c r="AQ334" s="7"/>
      <c r="AR334" s="7"/>
      <c r="AS334" s="7"/>
      <c r="AT334" s="7"/>
      <c r="AU334" s="7"/>
      <c r="AV334" s="7"/>
      <c r="AW334" s="7"/>
      <c r="AX334" s="7"/>
      <c r="AY334" s="7"/>
      <c r="AZ334" s="7"/>
      <c r="BA334" s="7"/>
      <c r="BB334" s="7"/>
      <c r="BC334" s="7"/>
      <c r="BD334" s="7"/>
      <c r="BE334" s="7"/>
      <c r="BF334" s="7"/>
      <c r="BG334" s="7"/>
      <c r="BH334" s="7"/>
      <c r="BI334" s="7"/>
      <c r="BJ334" s="7"/>
      <c r="BK334" s="7"/>
      <c r="BL334" s="7"/>
      <c r="BM334" s="7"/>
      <c r="BN334" s="7"/>
      <c r="BO334" s="7"/>
      <c r="BP334" s="7"/>
      <c r="BQ334" s="7"/>
      <c r="BR334" s="7"/>
      <c r="BS334" s="7"/>
      <c r="BT334" s="7"/>
      <c r="BU334" s="7"/>
      <c r="BV334" s="7"/>
      <c r="BW334" s="8"/>
      <c r="BX334" s="8">
        <v>45704</v>
      </c>
      <c r="BY334" s="2"/>
      <c r="BZ334" s="8"/>
      <c r="CA334" s="14">
        <f t="shared" ref="CA334:CA341" si="39">SUM(O334:BV334)</f>
        <v>351188.78</v>
      </c>
      <c r="CB334" s="2" t="str">
        <f t="shared" ref="CB334:CB341" si="40">IF(M334=CA334,"OK","CORRIGIR")</f>
        <v>OK</v>
      </c>
      <c r="CC334" s="13">
        <f t="shared" ref="CC334:CC341" si="41">M334-CA334</f>
        <v>0</v>
      </c>
    </row>
    <row r="335" spans="1:81" s="9" customFormat="1" ht="97.5" hidden="1" customHeight="1" x14ac:dyDescent="0.25">
      <c r="A335" s="2" t="s">
        <v>1440</v>
      </c>
      <c r="B335" s="2" t="s">
        <v>977</v>
      </c>
      <c r="C335" s="2" t="s">
        <v>681</v>
      </c>
      <c r="D335" s="12" t="s">
        <v>978</v>
      </c>
      <c r="E335" s="12" t="s">
        <v>979</v>
      </c>
      <c r="F335" s="2" t="s">
        <v>65</v>
      </c>
      <c r="G335" s="2" t="s">
        <v>2025</v>
      </c>
      <c r="H335" s="2" t="s">
        <v>294</v>
      </c>
      <c r="I335" s="2" t="s">
        <v>5</v>
      </c>
      <c r="J335" s="2" t="s">
        <v>1675</v>
      </c>
      <c r="K335" s="2" t="s">
        <v>67</v>
      </c>
      <c r="L335" s="16">
        <v>234317.8</v>
      </c>
      <c r="M335" s="11">
        <v>234317.8</v>
      </c>
      <c r="N335" s="2" t="s">
        <v>14</v>
      </c>
      <c r="O335" s="7"/>
      <c r="P335" s="7"/>
      <c r="Q335" s="7"/>
      <c r="R335" s="7"/>
      <c r="S335" s="7"/>
      <c r="T335" s="7"/>
      <c r="U335" s="7"/>
      <c r="V335" s="7"/>
      <c r="W335" s="7"/>
      <c r="X335" s="7"/>
      <c r="Y335" s="7"/>
      <c r="Z335" s="7"/>
      <c r="AA335" s="7">
        <v>234317.8</v>
      </c>
      <c r="AB335" s="7">
        <v>0</v>
      </c>
      <c r="AC335" s="7"/>
      <c r="AD335" s="7"/>
      <c r="AE335" s="7"/>
      <c r="AF335" s="7"/>
      <c r="AG335" s="7"/>
      <c r="AH335" s="7"/>
      <c r="AI335" s="7"/>
      <c r="AJ335" s="7"/>
      <c r="AK335" s="7"/>
      <c r="AL335" s="7"/>
      <c r="AM335" s="7"/>
      <c r="AN335" s="7"/>
      <c r="AO335" s="7"/>
      <c r="AP335" s="7"/>
      <c r="AQ335" s="7"/>
      <c r="AR335" s="7"/>
      <c r="AS335" s="7"/>
      <c r="AT335" s="7"/>
      <c r="AU335" s="7"/>
      <c r="AV335" s="7"/>
      <c r="AW335" s="7"/>
      <c r="AX335" s="7"/>
      <c r="AY335" s="7"/>
      <c r="AZ335" s="7"/>
      <c r="BA335" s="7"/>
      <c r="BB335" s="7"/>
      <c r="BC335" s="7"/>
      <c r="BD335" s="7"/>
      <c r="BE335" s="7"/>
      <c r="BF335" s="7"/>
      <c r="BG335" s="7"/>
      <c r="BH335" s="7"/>
      <c r="BI335" s="7"/>
      <c r="BJ335" s="7"/>
      <c r="BK335" s="7"/>
      <c r="BL335" s="7"/>
      <c r="BM335" s="7"/>
      <c r="BN335" s="7"/>
      <c r="BO335" s="7"/>
      <c r="BP335" s="7"/>
      <c r="BQ335" s="7"/>
      <c r="BR335" s="7"/>
      <c r="BS335" s="7"/>
      <c r="BT335" s="7"/>
      <c r="BU335" s="7"/>
      <c r="BV335" s="7"/>
      <c r="BW335" s="8"/>
      <c r="BX335" s="8">
        <v>45723</v>
      </c>
      <c r="BY335" s="2"/>
      <c r="BZ335" s="8" t="s">
        <v>1770</v>
      </c>
      <c r="CA335" s="14">
        <f t="shared" si="39"/>
        <v>234317.8</v>
      </c>
      <c r="CB335" s="2" t="str">
        <f t="shared" si="40"/>
        <v>OK</v>
      </c>
      <c r="CC335" s="13">
        <f t="shared" si="41"/>
        <v>0</v>
      </c>
    </row>
    <row r="336" spans="1:81" s="9" customFormat="1" ht="105" hidden="1" customHeight="1" x14ac:dyDescent="0.25">
      <c r="A336" s="2" t="s">
        <v>1447</v>
      </c>
      <c r="B336" s="2" t="s">
        <v>1000</v>
      </c>
      <c r="C336" s="2" t="s">
        <v>681</v>
      </c>
      <c r="D336" s="12" t="s">
        <v>1001</v>
      </c>
      <c r="E336" s="12" t="s">
        <v>1002</v>
      </c>
      <c r="F336" s="2" t="s">
        <v>65</v>
      </c>
      <c r="G336" s="2" t="s">
        <v>2025</v>
      </c>
      <c r="H336" s="2" t="s">
        <v>294</v>
      </c>
      <c r="I336" s="2" t="s">
        <v>5</v>
      </c>
      <c r="J336" s="2" t="s">
        <v>1675</v>
      </c>
      <c r="K336" s="2" t="s">
        <v>67</v>
      </c>
      <c r="L336" s="16">
        <v>162681.76</v>
      </c>
      <c r="M336" s="11">
        <v>162681.76</v>
      </c>
      <c r="N336" s="2" t="s">
        <v>14</v>
      </c>
      <c r="O336" s="7">
        <v>0</v>
      </c>
      <c r="P336" s="7"/>
      <c r="Q336" s="7"/>
      <c r="R336" s="7"/>
      <c r="S336" s="7"/>
      <c r="T336" s="7"/>
      <c r="U336" s="7"/>
      <c r="V336" s="7"/>
      <c r="W336" s="7"/>
      <c r="X336" s="7"/>
      <c r="Y336" s="7"/>
      <c r="Z336" s="7"/>
      <c r="AA336" s="7">
        <v>162681.76</v>
      </c>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7"/>
      <c r="AZ336" s="7"/>
      <c r="BA336" s="7"/>
      <c r="BB336" s="7"/>
      <c r="BC336" s="7"/>
      <c r="BD336" s="7"/>
      <c r="BE336" s="7"/>
      <c r="BF336" s="7"/>
      <c r="BG336" s="7"/>
      <c r="BH336" s="7"/>
      <c r="BI336" s="7"/>
      <c r="BJ336" s="7"/>
      <c r="BK336" s="7"/>
      <c r="BL336" s="7"/>
      <c r="BM336" s="7"/>
      <c r="BN336" s="7"/>
      <c r="BO336" s="7"/>
      <c r="BP336" s="7"/>
      <c r="BQ336" s="7"/>
      <c r="BR336" s="7"/>
      <c r="BS336" s="7"/>
      <c r="BT336" s="7"/>
      <c r="BU336" s="7"/>
      <c r="BV336" s="7"/>
      <c r="BW336" s="8"/>
      <c r="BX336" s="8">
        <v>45731</v>
      </c>
      <c r="BY336" s="2"/>
      <c r="BZ336" s="2" t="s">
        <v>1780</v>
      </c>
      <c r="CA336" s="14">
        <f t="shared" si="39"/>
        <v>162681.76</v>
      </c>
      <c r="CB336" s="2" t="str">
        <f t="shared" si="40"/>
        <v>OK</v>
      </c>
      <c r="CC336" s="13">
        <f t="shared" si="41"/>
        <v>0</v>
      </c>
    </row>
    <row r="337" spans="1:81" s="9" customFormat="1" ht="117.75" hidden="1" customHeight="1" x14ac:dyDescent="0.25">
      <c r="A337" s="2" t="s">
        <v>1445</v>
      </c>
      <c r="B337" s="2" t="s">
        <v>990</v>
      </c>
      <c r="C337" s="2" t="s">
        <v>681</v>
      </c>
      <c r="D337" s="12" t="s">
        <v>991</v>
      </c>
      <c r="E337" s="12" t="s">
        <v>992</v>
      </c>
      <c r="F337" s="2" t="s">
        <v>65</v>
      </c>
      <c r="G337" s="2" t="s">
        <v>2025</v>
      </c>
      <c r="H337" s="2" t="s">
        <v>294</v>
      </c>
      <c r="I337" s="2" t="s">
        <v>5</v>
      </c>
      <c r="J337" s="2">
        <v>1</v>
      </c>
      <c r="K337" s="2" t="s">
        <v>67</v>
      </c>
      <c r="L337" s="16">
        <v>181042.95</v>
      </c>
      <c r="M337" s="11">
        <v>181042.95</v>
      </c>
      <c r="N337" s="2" t="s">
        <v>14</v>
      </c>
      <c r="O337" s="7"/>
      <c r="P337" s="7"/>
      <c r="Q337" s="7"/>
      <c r="R337" s="7"/>
      <c r="S337" s="7"/>
      <c r="T337" s="7"/>
      <c r="U337" s="7">
        <v>0</v>
      </c>
      <c r="V337" s="7"/>
      <c r="W337" s="7"/>
      <c r="X337" s="7"/>
      <c r="Y337" s="7"/>
      <c r="Z337" s="7"/>
      <c r="AA337" s="7">
        <v>181042.95</v>
      </c>
      <c r="AB337" s="7"/>
      <c r="AC337" s="7"/>
      <c r="AD337" s="7"/>
      <c r="AE337" s="7"/>
      <c r="AF337" s="7"/>
      <c r="AG337" s="7"/>
      <c r="AH337" s="7"/>
      <c r="AI337" s="7"/>
      <c r="AJ337" s="7"/>
      <c r="AK337" s="7"/>
      <c r="AL337" s="7"/>
      <c r="AM337" s="7"/>
      <c r="AN337" s="7"/>
      <c r="AO337" s="7"/>
      <c r="AP337" s="7"/>
      <c r="AQ337" s="7"/>
      <c r="AR337" s="7"/>
      <c r="AS337" s="7"/>
      <c r="AT337" s="7"/>
      <c r="AU337" s="7"/>
      <c r="AV337" s="7"/>
      <c r="AW337" s="7"/>
      <c r="AX337" s="7"/>
      <c r="AY337" s="7"/>
      <c r="AZ337" s="7"/>
      <c r="BA337" s="7"/>
      <c r="BB337" s="7"/>
      <c r="BC337" s="7"/>
      <c r="BD337" s="7"/>
      <c r="BE337" s="7"/>
      <c r="BF337" s="7"/>
      <c r="BG337" s="7"/>
      <c r="BH337" s="7"/>
      <c r="BI337" s="7"/>
      <c r="BJ337" s="7"/>
      <c r="BK337" s="7"/>
      <c r="BL337" s="7"/>
      <c r="BM337" s="7"/>
      <c r="BN337" s="7"/>
      <c r="BO337" s="7"/>
      <c r="BP337" s="7"/>
      <c r="BQ337" s="7"/>
      <c r="BR337" s="7"/>
      <c r="BS337" s="7"/>
      <c r="BT337" s="7"/>
      <c r="BU337" s="7"/>
      <c r="BV337" s="7"/>
      <c r="BW337" s="8"/>
      <c r="BX337" s="8">
        <v>45748</v>
      </c>
      <c r="BY337" s="2"/>
      <c r="BZ337" s="2" t="s">
        <v>1780</v>
      </c>
      <c r="CA337" s="14">
        <f t="shared" si="39"/>
        <v>181042.95</v>
      </c>
      <c r="CB337" s="2" t="str">
        <f t="shared" si="40"/>
        <v>OK</v>
      </c>
      <c r="CC337" s="13">
        <f t="shared" si="41"/>
        <v>0</v>
      </c>
    </row>
    <row r="338" spans="1:81" s="9" customFormat="1" ht="110.1" hidden="1" customHeight="1" x14ac:dyDescent="0.25">
      <c r="A338" s="2" t="s">
        <v>1429</v>
      </c>
      <c r="B338" s="2" t="s">
        <v>904</v>
      </c>
      <c r="C338" s="2" t="s">
        <v>681</v>
      </c>
      <c r="D338" s="12" t="s">
        <v>905</v>
      </c>
      <c r="E338" s="12" t="s">
        <v>906</v>
      </c>
      <c r="F338" s="2" t="s">
        <v>65</v>
      </c>
      <c r="G338" s="2" t="s">
        <v>2025</v>
      </c>
      <c r="H338" s="2" t="s">
        <v>294</v>
      </c>
      <c r="I338" s="2" t="s">
        <v>5</v>
      </c>
      <c r="J338" s="2">
        <v>1</v>
      </c>
      <c r="K338" s="2" t="s">
        <v>67</v>
      </c>
      <c r="L338" s="16">
        <v>444157.7</v>
      </c>
      <c r="M338" s="11">
        <v>444157.7</v>
      </c>
      <c r="N338" s="2" t="s">
        <v>14</v>
      </c>
      <c r="O338" s="7"/>
      <c r="P338" s="7"/>
      <c r="Q338" s="7"/>
      <c r="R338" s="7"/>
      <c r="S338" s="7"/>
      <c r="T338" s="7"/>
      <c r="U338" s="7"/>
      <c r="V338" s="7"/>
      <c r="W338" s="7"/>
      <c r="X338" s="7"/>
      <c r="Y338" s="7"/>
      <c r="Z338" s="7"/>
      <c r="AA338" s="7">
        <v>444157.7</v>
      </c>
      <c r="AB338" s="7">
        <v>0</v>
      </c>
      <c r="AC338" s="7"/>
      <c r="AD338" s="7"/>
      <c r="AE338" s="7"/>
      <c r="AF338" s="7"/>
      <c r="AG338" s="7"/>
      <c r="AH338" s="7"/>
      <c r="AI338" s="7"/>
      <c r="AJ338" s="7"/>
      <c r="AK338" s="7"/>
      <c r="AL338" s="7"/>
      <c r="AM338" s="7"/>
      <c r="AN338" s="7"/>
      <c r="AO338" s="7"/>
      <c r="AP338" s="7"/>
      <c r="AQ338" s="7"/>
      <c r="AR338" s="7"/>
      <c r="AS338" s="7"/>
      <c r="AT338" s="7"/>
      <c r="AU338" s="7"/>
      <c r="AV338" s="7"/>
      <c r="AW338" s="7"/>
      <c r="AX338" s="7"/>
      <c r="AY338" s="7"/>
      <c r="AZ338" s="7"/>
      <c r="BA338" s="7"/>
      <c r="BB338" s="7"/>
      <c r="BC338" s="7"/>
      <c r="BD338" s="7"/>
      <c r="BE338" s="7"/>
      <c r="BF338" s="7"/>
      <c r="BG338" s="7"/>
      <c r="BH338" s="7"/>
      <c r="BI338" s="7"/>
      <c r="BJ338" s="7"/>
      <c r="BK338" s="7"/>
      <c r="BL338" s="7"/>
      <c r="BM338" s="7"/>
      <c r="BN338" s="7"/>
      <c r="BO338" s="7"/>
      <c r="BP338" s="7"/>
      <c r="BQ338" s="7"/>
      <c r="BR338" s="7"/>
      <c r="BS338" s="7"/>
      <c r="BT338" s="7"/>
      <c r="BU338" s="7"/>
      <c r="BV338" s="7"/>
      <c r="BW338" s="8"/>
      <c r="BX338" s="8">
        <v>45793</v>
      </c>
      <c r="BY338" s="2"/>
      <c r="BZ338" s="2" t="s">
        <v>1780</v>
      </c>
      <c r="CA338" s="14">
        <f t="shared" si="39"/>
        <v>444157.7</v>
      </c>
      <c r="CB338" s="2" t="str">
        <f t="shared" si="40"/>
        <v>OK</v>
      </c>
      <c r="CC338" s="13">
        <f t="shared" si="41"/>
        <v>0</v>
      </c>
    </row>
    <row r="339" spans="1:81" s="9" customFormat="1" ht="110.1" hidden="1" customHeight="1" x14ac:dyDescent="0.25">
      <c r="A339" s="2" t="s">
        <v>1397</v>
      </c>
      <c r="B339" s="2" t="s">
        <v>945</v>
      </c>
      <c r="C339" s="2" t="s">
        <v>681</v>
      </c>
      <c r="D339" s="12" t="s">
        <v>946</v>
      </c>
      <c r="E339" s="12" t="s">
        <v>947</v>
      </c>
      <c r="F339" s="2" t="s">
        <v>72</v>
      </c>
      <c r="G339" s="2" t="s">
        <v>2025</v>
      </c>
      <c r="H339" s="2" t="s">
        <v>294</v>
      </c>
      <c r="I339" s="2" t="s">
        <v>5</v>
      </c>
      <c r="J339" s="2" t="s">
        <v>1675</v>
      </c>
      <c r="K339" s="2" t="s">
        <v>67</v>
      </c>
      <c r="L339" s="16">
        <v>1029731.09</v>
      </c>
      <c r="M339" s="11">
        <v>1029731.09</v>
      </c>
      <c r="N339" s="2" t="s">
        <v>1141</v>
      </c>
      <c r="O339" s="7">
        <v>0</v>
      </c>
      <c r="P339" s="7"/>
      <c r="Q339" s="7"/>
      <c r="R339" s="7"/>
      <c r="S339" s="7"/>
      <c r="T339" s="7"/>
      <c r="U339" s="7"/>
      <c r="V339" s="7"/>
      <c r="W339" s="7"/>
      <c r="X339" s="7"/>
      <c r="Y339" s="7"/>
      <c r="Z339" s="7"/>
      <c r="AA339" s="7"/>
      <c r="AB339" s="7"/>
      <c r="AC339" s="7"/>
      <c r="AD339" s="7"/>
      <c r="AE339" s="7"/>
      <c r="AF339" s="7"/>
      <c r="AG339" s="7">
        <v>648730.57999999996</v>
      </c>
      <c r="AH339" s="7">
        <v>381000.51</v>
      </c>
      <c r="AI339" s="7"/>
      <c r="AJ339" s="7"/>
      <c r="AK339" s="7"/>
      <c r="AL339" s="7"/>
      <c r="AM339" s="7"/>
      <c r="AN339" s="7"/>
      <c r="AO339" s="7"/>
      <c r="AP339" s="7"/>
      <c r="AQ339" s="7"/>
      <c r="AR339" s="7"/>
      <c r="AS339" s="7"/>
      <c r="AT339" s="7"/>
      <c r="AU339" s="7"/>
      <c r="AV339" s="7"/>
      <c r="AW339" s="7"/>
      <c r="AX339" s="7"/>
      <c r="AY339" s="7"/>
      <c r="AZ339" s="7"/>
      <c r="BA339" s="7"/>
      <c r="BB339" s="7"/>
      <c r="BC339" s="7"/>
      <c r="BD339" s="7"/>
      <c r="BE339" s="7"/>
      <c r="BF339" s="7"/>
      <c r="BG339" s="7"/>
      <c r="BH339" s="7"/>
      <c r="BI339" s="7"/>
      <c r="BJ339" s="7"/>
      <c r="BK339" s="7"/>
      <c r="BL339" s="7"/>
      <c r="BM339" s="7"/>
      <c r="BN339" s="7"/>
      <c r="BO339" s="7"/>
      <c r="BP339" s="7"/>
      <c r="BQ339" s="7"/>
      <c r="BR339" s="7"/>
      <c r="BS339" s="7"/>
      <c r="BT339" s="7"/>
      <c r="BU339" s="7"/>
      <c r="BV339" s="7"/>
      <c r="BW339" s="8"/>
      <c r="BX339" s="8">
        <v>45835</v>
      </c>
      <c r="BY339" s="2"/>
      <c r="BZ339" s="2" t="s">
        <v>1780</v>
      </c>
      <c r="CA339" s="14">
        <f t="shared" si="39"/>
        <v>1029731.09</v>
      </c>
      <c r="CB339" s="2" t="str">
        <f t="shared" si="40"/>
        <v>OK</v>
      </c>
      <c r="CC339" s="13">
        <f t="shared" si="41"/>
        <v>0</v>
      </c>
    </row>
    <row r="340" spans="1:81" s="9" customFormat="1" ht="110.1" hidden="1" customHeight="1" x14ac:dyDescent="0.25">
      <c r="A340" s="2" t="s">
        <v>1430</v>
      </c>
      <c r="B340" s="2" t="s">
        <v>907</v>
      </c>
      <c r="C340" s="2" t="s">
        <v>681</v>
      </c>
      <c r="D340" s="12" t="s">
        <v>908</v>
      </c>
      <c r="E340" s="12" t="s">
        <v>909</v>
      </c>
      <c r="F340" s="2" t="s">
        <v>65</v>
      </c>
      <c r="G340" s="2" t="s">
        <v>2025</v>
      </c>
      <c r="H340" s="2" t="s">
        <v>294</v>
      </c>
      <c r="I340" s="2" t="s">
        <v>5</v>
      </c>
      <c r="J340" s="2" t="s">
        <v>1675</v>
      </c>
      <c r="K340" s="2" t="s">
        <v>67</v>
      </c>
      <c r="L340" s="16">
        <v>424336.82</v>
      </c>
      <c r="M340" s="11">
        <v>424336.82</v>
      </c>
      <c r="N340" s="2" t="s">
        <v>1143</v>
      </c>
      <c r="O340" s="7"/>
      <c r="P340" s="7"/>
      <c r="Q340" s="7"/>
      <c r="R340" s="7"/>
      <c r="S340" s="7"/>
      <c r="T340" s="7"/>
      <c r="U340" s="7"/>
      <c r="V340" s="7"/>
      <c r="W340" s="7"/>
      <c r="X340" s="7"/>
      <c r="Y340" s="7"/>
      <c r="Z340" s="7"/>
      <c r="AA340" s="7"/>
      <c r="AB340" s="7">
        <v>0</v>
      </c>
      <c r="AC340" s="7"/>
      <c r="AD340" s="7"/>
      <c r="AE340" s="7"/>
      <c r="AF340" s="7"/>
      <c r="AG340" s="7">
        <v>190951.57</v>
      </c>
      <c r="AH340" s="7">
        <v>233385.25</v>
      </c>
      <c r="AI340" s="7"/>
      <c r="AJ340" s="7"/>
      <c r="AK340" s="7"/>
      <c r="AL340" s="7"/>
      <c r="AM340" s="7"/>
      <c r="AN340" s="7"/>
      <c r="AO340" s="7"/>
      <c r="AP340" s="7"/>
      <c r="AQ340" s="7"/>
      <c r="AR340" s="7"/>
      <c r="AS340" s="7"/>
      <c r="AT340" s="7"/>
      <c r="AU340" s="7"/>
      <c r="AV340" s="7"/>
      <c r="AW340" s="7"/>
      <c r="AX340" s="7"/>
      <c r="AY340" s="7"/>
      <c r="AZ340" s="7"/>
      <c r="BA340" s="7"/>
      <c r="BB340" s="7"/>
      <c r="BC340" s="7"/>
      <c r="BD340" s="7"/>
      <c r="BE340" s="7"/>
      <c r="BF340" s="7"/>
      <c r="BG340" s="7"/>
      <c r="BH340" s="7"/>
      <c r="BI340" s="7"/>
      <c r="BJ340" s="7"/>
      <c r="BK340" s="7"/>
      <c r="BL340" s="7"/>
      <c r="BM340" s="7"/>
      <c r="BN340" s="7"/>
      <c r="BO340" s="7"/>
      <c r="BP340" s="7"/>
      <c r="BQ340" s="7"/>
      <c r="BR340" s="7"/>
      <c r="BS340" s="7"/>
      <c r="BT340" s="7"/>
      <c r="BU340" s="7"/>
      <c r="BV340" s="7"/>
      <c r="BW340" s="8"/>
      <c r="BX340" s="8">
        <v>45846</v>
      </c>
      <c r="BY340" s="2"/>
      <c r="BZ340" s="8" t="s">
        <v>1776</v>
      </c>
      <c r="CA340" s="14">
        <f t="shared" si="39"/>
        <v>424336.82</v>
      </c>
      <c r="CB340" s="2" t="str">
        <f t="shared" si="40"/>
        <v>OK</v>
      </c>
      <c r="CC340" s="13">
        <f t="shared" si="41"/>
        <v>0</v>
      </c>
    </row>
    <row r="341" spans="1:81" s="9" customFormat="1" ht="110.1" hidden="1" customHeight="1" x14ac:dyDescent="0.25">
      <c r="A341" s="2" t="s">
        <v>1433</v>
      </c>
      <c r="B341" s="2" t="s">
        <v>921</v>
      </c>
      <c r="C341" s="2" t="s">
        <v>681</v>
      </c>
      <c r="D341" s="12" t="s">
        <v>922</v>
      </c>
      <c r="E341" s="12" t="s">
        <v>923</v>
      </c>
      <c r="F341" s="2" t="s">
        <v>65</v>
      </c>
      <c r="G341" s="2" t="s">
        <v>2025</v>
      </c>
      <c r="H341" s="2" t="s">
        <v>294</v>
      </c>
      <c r="I341" s="2" t="s">
        <v>5</v>
      </c>
      <c r="J341" s="2" t="s">
        <v>1675</v>
      </c>
      <c r="K341" s="2" t="s">
        <v>67</v>
      </c>
      <c r="L341" s="16">
        <v>356420.54</v>
      </c>
      <c r="M341" s="11">
        <v>356420.54</v>
      </c>
      <c r="N341" s="2" t="s">
        <v>903</v>
      </c>
      <c r="O341" s="7">
        <v>0</v>
      </c>
      <c r="P341" s="7"/>
      <c r="Q341" s="7"/>
      <c r="R341" s="7"/>
      <c r="S341" s="7"/>
      <c r="T341" s="7"/>
      <c r="U341" s="7"/>
      <c r="V341" s="7"/>
      <c r="W341" s="7"/>
      <c r="X341" s="7"/>
      <c r="Y341" s="7"/>
      <c r="Z341" s="7"/>
      <c r="AA341" s="7">
        <f>M341</f>
        <v>356420.54</v>
      </c>
      <c r="AB341" s="7"/>
      <c r="AC341" s="7"/>
      <c r="AD341" s="7"/>
      <c r="AE341" s="7"/>
      <c r="AF341" s="7"/>
      <c r="AG341" s="7"/>
      <c r="AH341" s="7"/>
      <c r="AI341" s="7"/>
      <c r="AJ341" s="7"/>
      <c r="AK341" s="7"/>
      <c r="AL341" s="7"/>
      <c r="AM341" s="7"/>
      <c r="AN341" s="7"/>
      <c r="AO341" s="7"/>
      <c r="AP341" s="7"/>
      <c r="AQ341" s="7"/>
      <c r="AR341" s="7"/>
      <c r="AS341" s="7"/>
      <c r="AT341" s="7"/>
      <c r="AU341" s="7"/>
      <c r="AV341" s="7"/>
      <c r="AW341" s="7"/>
      <c r="AX341" s="7"/>
      <c r="AY341" s="7"/>
      <c r="AZ341" s="7"/>
      <c r="BA341" s="7"/>
      <c r="BB341" s="7"/>
      <c r="BC341" s="7"/>
      <c r="BD341" s="7"/>
      <c r="BE341" s="7"/>
      <c r="BF341" s="7"/>
      <c r="BG341" s="7"/>
      <c r="BH341" s="7"/>
      <c r="BI341" s="7"/>
      <c r="BJ341" s="7"/>
      <c r="BK341" s="7"/>
      <c r="BL341" s="7"/>
      <c r="BM341" s="7"/>
      <c r="BN341" s="7"/>
      <c r="BO341" s="7"/>
      <c r="BP341" s="7"/>
      <c r="BQ341" s="7"/>
      <c r="BR341" s="7"/>
      <c r="BS341" s="7"/>
      <c r="BT341" s="7"/>
      <c r="BU341" s="7"/>
      <c r="BV341" s="7"/>
      <c r="BW341" s="8"/>
      <c r="BX341" s="8">
        <v>45877</v>
      </c>
      <c r="BY341" s="2"/>
      <c r="BZ341" s="8"/>
      <c r="CA341" s="14">
        <f t="shared" si="39"/>
        <v>356420.54</v>
      </c>
      <c r="CB341" s="2" t="str">
        <f t="shared" si="40"/>
        <v>OK</v>
      </c>
      <c r="CC341" s="13">
        <f t="shared" si="41"/>
        <v>0</v>
      </c>
    </row>
    <row r="342" spans="1:81" s="9" customFormat="1" ht="156.75" hidden="1" customHeight="1" x14ac:dyDescent="0.25">
      <c r="A342" s="2" t="s">
        <v>1446</v>
      </c>
      <c r="B342" s="2" t="s">
        <v>952</v>
      </c>
      <c r="C342" s="2" t="s">
        <v>681</v>
      </c>
      <c r="D342" s="12" t="s">
        <v>953</v>
      </c>
      <c r="E342" s="12" t="s">
        <v>954</v>
      </c>
      <c r="F342" s="2" t="s">
        <v>65</v>
      </c>
      <c r="G342" s="2" t="s">
        <v>2025</v>
      </c>
      <c r="H342" s="2" t="s">
        <v>294</v>
      </c>
      <c r="I342" s="2" t="s">
        <v>5</v>
      </c>
      <c r="J342" s="2">
        <v>1</v>
      </c>
      <c r="K342" s="2" t="s">
        <v>67</v>
      </c>
      <c r="L342" s="16">
        <v>169389</v>
      </c>
      <c r="M342" s="11">
        <v>169389</v>
      </c>
      <c r="N342" s="2" t="s">
        <v>14</v>
      </c>
      <c r="O342" s="7">
        <v>0</v>
      </c>
      <c r="P342" s="7"/>
      <c r="Q342" s="7"/>
      <c r="R342" s="7"/>
      <c r="S342" s="7"/>
      <c r="T342" s="7"/>
      <c r="U342" s="7"/>
      <c r="V342" s="7"/>
      <c r="W342" s="7"/>
      <c r="X342" s="7"/>
      <c r="Y342" s="7"/>
      <c r="Z342" s="7"/>
      <c r="AA342" s="7">
        <v>169389</v>
      </c>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c r="AZ342" s="7"/>
      <c r="BA342" s="7"/>
      <c r="BB342" s="7"/>
      <c r="BC342" s="7"/>
      <c r="BD342" s="7"/>
      <c r="BE342" s="7"/>
      <c r="BF342" s="7"/>
      <c r="BG342" s="7"/>
      <c r="BH342" s="7"/>
      <c r="BI342" s="7"/>
      <c r="BJ342" s="7"/>
      <c r="BK342" s="7"/>
      <c r="BL342" s="7"/>
      <c r="BM342" s="7"/>
      <c r="BN342" s="7"/>
      <c r="BO342" s="7"/>
      <c r="BP342" s="7"/>
      <c r="BQ342" s="7"/>
      <c r="BR342" s="7"/>
      <c r="BS342" s="7"/>
      <c r="BT342" s="7"/>
      <c r="BU342" s="7"/>
      <c r="BV342" s="7"/>
      <c r="BW342" s="8"/>
      <c r="BX342" s="8">
        <v>45929</v>
      </c>
      <c r="BY342" s="2"/>
      <c r="BZ342" s="8"/>
      <c r="CA342" s="14"/>
      <c r="CB342" s="2"/>
      <c r="CC342" s="13"/>
    </row>
    <row r="343" spans="1:81" s="9" customFormat="1" ht="146.25" hidden="1" customHeight="1" x14ac:dyDescent="0.25">
      <c r="A343" s="2" t="s">
        <v>1460</v>
      </c>
      <c r="B343" s="2" t="s">
        <v>1007</v>
      </c>
      <c r="C343" s="2" t="s">
        <v>681</v>
      </c>
      <c r="D343" s="12" t="s">
        <v>1008</v>
      </c>
      <c r="E343" s="12" t="s">
        <v>1009</v>
      </c>
      <c r="F343" s="2" t="s">
        <v>65</v>
      </c>
      <c r="G343" s="2" t="s">
        <v>2025</v>
      </c>
      <c r="H343" s="2" t="s">
        <v>294</v>
      </c>
      <c r="I343" s="2" t="s">
        <v>5</v>
      </c>
      <c r="J343" s="2">
        <v>1</v>
      </c>
      <c r="K343" s="2" t="s">
        <v>67</v>
      </c>
      <c r="L343" s="16">
        <v>102487.92</v>
      </c>
      <c r="M343" s="11">
        <v>102487.92</v>
      </c>
      <c r="N343" s="2" t="s">
        <v>14</v>
      </c>
      <c r="O343" s="7">
        <v>0</v>
      </c>
      <c r="P343" s="7"/>
      <c r="Q343" s="7"/>
      <c r="R343" s="7"/>
      <c r="S343" s="7"/>
      <c r="T343" s="7"/>
      <c r="U343" s="7"/>
      <c r="V343" s="7"/>
      <c r="W343" s="7"/>
      <c r="X343" s="7"/>
      <c r="Y343" s="7"/>
      <c r="Z343" s="7"/>
      <c r="AA343" s="7">
        <f>M343</f>
        <v>102487.92</v>
      </c>
      <c r="AB343" s="7"/>
      <c r="AC343" s="7"/>
      <c r="AD343" s="7"/>
      <c r="AE343" s="7"/>
      <c r="AF343" s="7"/>
      <c r="AG343" s="7"/>
      <c r="AH343" s="7"/>
      <c r="AI343" s="7"/>
      <c r="AJ343" s="7"/>
      <c r="AK343" s="7"/>
      <c r="AL343" s="7"/>
      <c r="AM343" s="7"/>
      <c r="AN343" s="7"/>
      <c r="AO343" s="7"/>
      <c r="AP343" s="7"/>
      <c r="AQ343" s="7"/>
      <c r="AR343" s="7"/>
      <c r="AS343" s="7"/>
      <c r="AT343" s="7"/>
      <c r="AU343" s="7"/>
      <c r="AV343" s="7"/>
      <c r="AW343" s="7"/>
      <c r="AX343" s="7"/>
      <c r="AY343" s="7"/>
      <c r="AZ343" s="7"/>
      <c r="BA343" s="7"/>
      <c r="BB343" s="7"/>
      <c r="BC343" s="7"/>
      <c r="BD343" s="7"/>
      <c r="BE343" s="7"/>
      <c r="BF343" s="7"/>
      <c r="BG343" s="7"/>
      <c r="BH343" s="7"/>
      <c r="BI343" s="7"/>
      <c r="BJ343" s="7"/>
      <c r="BK343" s="7"/>
      <c r="BL343" s="7"/>
      <c r="BM343" s="7"/>
      <c r="BN343" s="7"/>
      <c r="BO343" s="7"/>
      <c r="BP343" s="7"/>
      <c r="BQ343" s="7"/>
      <c r="BR343" s="7"/>
      <c r="BS343" s="7"/>
      <c r="BT343" s="7"/>
      <c r="BU343" s="7"/>
      <c r="BV343" s="7"/>
      <c r="BW343" s="8"/>
      <c r="BX343" s="8">
        <v>45999</v>
      </c>
      <c r="BY343" s="2"/>
      <c r="BZ343" s="2"/>
      <c r="CA343" s="14">
        <f>SUM(O343:BV343)</f>
        <v>102487.92</v>
      </c>
      <c r="CB343" s="2" t="str">
        <f>IF(M343=CA343,"OK","CORRIGIR")</f>
        <v>OK</v>
      </c>
      <c r="CC343" s="13">
        <f>M343-CA343</f>
        <v>0</v>
      </c>
    </row>
    <row r="344" spans="1:81" s="9" customFormat="1" ht="107.25" hidden="1" customHeight="1" x14ac:dyDescent="0.25">
      <c r="A344" s="2" t="s">
        <v>1444</v>
      </c>
      <c r="B344" s="2" t="s">
        <v>935</v>
      </c>
      <c r="C344" s="2" t="s">
        <v>681</v>
      </c>
      <c r="D344" s="12" t="s">
        <v>936</v>
      </c>
      <c r="E344" s="12" t="s">
        <v>937</v>
      </c>
      <c r="F344" s="2" t="s">
        <v>65</v>
      </c>
      <c r="G344" s="2" t="s">
        <v>2025</v>
      </c>
      <c r="H344" s="2" t="s">
        <v>294</v>
      </c>
      <c r="I344" s="2" t="s">
        <v>5</v>
      </c>
      <c r="J344" s="2">
        <v>1</v>
      </c>
      <c r="K344" s="2" t="s">
        <v>67</v>
      </c>
      <c r="L344" s="16">
        <v>204887.49</v>
      </c>
      <c r="M344" s="11">
        <v>204887.49</v>
      </c>
      <c r="N344" s="2" t="s">
        <v>49</v>
      </c>
      <c r="O344" s="7">
        <v>0</v>
      </c>
      <c r="P344" s="7"/>
      <c r="Q344" s="7"/>
      <c r="R344" s="7"/>
      <c r="S344" s="7"/>
      <c r="T344" s="7"/>
      <c r="U344" s="7"/>
      <c r="V344" s="7"/>
      <c r="W344" s="7"/>
      <c r="X344" s="7"/>
      <c r="Y344" s="7"/>
      <c r="Z344" s="7"/>
      <c r="AA344" s="7"/>
      <c r="AB344" s="7"/>
      <c r="AC344" s="7"/>
      <c r="AD344" s="7"/>
      <c r="AE344" s="7"/>
      <c r="AF344" s="7"/>
      <c r="AG344" s="7"/>
      <c r="AH344" s="7">
        <f>M344</f>
        <v>204887.49</v>
      </c>
      <c r="AI344" s="7"/>
      <c r="AJ344" s="7"/>
      <c r="AK344" s="7"/>
      <c r="AL344" s="7"/>
      <c r="AM344" s="7"/>
      <c r="AN344" s="7"/>
      <c r="AO344" s="7"/>
      <c r="AP344" s="7"/>
      <c r="AQ344" s="7"/>
      <c r="AR344" s="7"/>
      <c r="AS344" s="7"/>
      <c r="AT344" s="7"/>
      <c r="AU344" s="7"/>
      <c r="AV344" s="7"/>
      <c r="AW344" s="7"/>
      <c r="AX344" s="7"/>
      <c r="AY344" s="7"/>
      <c r="AZ344" s="7"/>
      <c r="BA344" s="7"/>
      <c r="BB344" s="7"/>
      <c r="BC344" s="7"/>
      <c r="BD344" s="7"/>
      <c r="BE344" s="7"/>
      <c r="BF344" s="7"/>
      <c r="BG344" s="7"/>
      <c r="BH344" s="7"/>
      <c r="BI344" s="7"/>
      <c r="BJ344" s="7"/>
      <c r="BK344" s="7"/>
      <c r="BL344" s="7"/>
      <c r="BM344" s="7"/>
      <c r="BN344" s="7"/>
      <c r="BO344" s="7"/>
      <c r="BP344" s="7"/>
      <c r="BQ344" s="7"/>
      <c r="BR344" s="7"/>
      <c r="BS344" s="7"/>
      <c r="BT344" s="7"/>
      <c r="BU344" s="7"/>
      <c r="BV344" s="7"/>
      <c r="BW344" s="8"/>
      <c r="BX344" s="8">
        <v>46180</v>
      </c>
      <c r="BY344" s="2"/>
      <c r="BZ344" s="15"/>
      <c r="CA344" s="14">
        <f>SUM(O344:BV344)</f>
        <v>204887.49</v>
      </c>
      <c r="CB344" s="2" t="str">
        <f>IF(M344=CA344,"OK","CORRIGIR")</f>
        <v>OK</v>
      </c>
      <c r="CC344" s="13">
        <f>M344-CA344</f>
        <v>0</v>
      </c>
    </row>
    <row r="345" spans="1:81" s="9" customFormat="1" ht="102.75" hidden="1" customHeight="1" x14ac:dyDescent="0.25">
      <c r="A345" s="2" t="s">
        <v>1439</v>
      </c>
      <c r="B345" s="2" t="s">
        <v>964</v>
      </c>
      <c r="C345" s="2" t="s">
        <v>681</v>
      </c>
      <c r="D345" s="12" t="s">
        <v>965</v>
      </c>
      <c r="E345" s="12" t="s">
        <v>966</v>
      </c>
      <c r="F345" s="2" t="s">
        <v>65</v>
      </c>
      <c r="G345" s="2" t="s">
        <v>2025</v>
      </c>
      <c r="H345" s="2" t="s">
        <v>294</v>
      </c>
      <c r="I345" s="2" t="s">
        <v>5</v>
      </c>
      <c r="J345" s="2">
        <v>1</v>
      </c>
      <c r="K345" s="2" t="s">
        <v>67</v>
      </c>
      <c r="L345" s="16">
        <v>244528.74</v>
      </c>
      <c r="M345" s="11">
        <v>244528.74</v>
      </c>
      <c r="N345" s="2" t="s">
        <v>14</v>
      </c>
      <c r="O345" s="7">
        <v>0</v>
      </c>
      <c r="P345" s="7"/>
      <c r="Q345" s="7"/>
      <c r="R345" s="7"/>
      <c r="S345" s="7"/>
      <c r="T345" s="7"/>
      <c r="U345" s="7"/>
      <c r="V345" s="7"/>
      <c r="W345" s="7"/>
      <c r="X345" s="7"/>
      <c r="Y345" s="7"/>
      <c r="Z345" s="7"/>
      <c r="AA345" s="7">
        <v>244528.74</v>
      </c>
      <c r="AB345" s="7"/>
      <c r="AC345" s="7"/>
      <c r="AD345" s="7"/>
      <c r="AE345" s="7"/>
      <c r="AF345" s="7"/>
      <c r="AG345" s="7"/>
      <c r="AH345" s="7"/>
      <c r="AI345" s="7"/>
      <c r="AJ345" s="7"/>
      <c r="AK345" s="7"/>
      <c r="AL345" s="7"/>
      <c r="AM345" s="7"/>
      <c r="AN345" s="7"/>
      <c r="AO345" s="7"/>
      <c r="AP345" s="7"/>
      <c r="AQ345" s="7"/>
      <c r="AR345" s="7"/>
      <c r="AS345" s="7"/>
      <c r="AT345" s="7"/>
      <c r="AU345" s="7"/>
      <c r="AV345" s="7"/>
      <c r="AW345" s="7"/>
      <c r="AX345" s="7"/>
      <c r="AY345" s="7"/>
      <c r="AZ345" s="7"/>
      <c r="BA345" s="7"/>
      <c r="BB345" s="7"/>
      <c r="BC345" s="7"/>
      <c r="BD345" s="7"/>
      <c r="BE345" s="7"/>
      <c r="BF345" s="7"/>
      <c r="BG345" s="7"/>
      <c r="BH345" s="7"/>
      <c r="BI345" s="7"/>
      <c r="BJ345" s="7"/>
      <c r="BK345" s="7"/>
      <c r="BL345" s="7"/>
      <c r="BM345" s="7"/>
      <c r="BN345" s="7"/>
      <c r="BO345" s="7"/>
      <c r="BP345" s="7"/>
      <c r="BQ345" s="7"/>
      <c r="BR345" s="7"/>
      <c r="BS345" s="7"/>
      <c r="BT345" s="7"/>
      <c r="BU345" s="7"/>
      <c r="BV345" s="7"/>
      <c r="BW345" s="8"/>
      <c r="BX345" s="8">
        <v>46403</v>
      </c>
      <c r="BY345" s="2"/>
      <c r="BZ345" s="2"/>
      <c r="CA345" s="14">
        <f>SUM(O345:BV345)</f>
        <v>244528.74</v>
      </c>
      <c r="CB345" s="2" t="str">
        <f>IF(M345=CA345,"OK","CORRIGIR")</f>
        <v>OK</v>
      </c>
      <c r="CC345" s="13">
        <f>M345-CA345</f>
        <v>0</v>
      </c>
    </row>
    <row r="346" spans="1:81" s="9" customFormat="1" ht="97.5" hidden="1" customHeight="1" x14ac:dyDescent="0.25">
      <c r="A346" s="2" t="s">
        <v>1522</v>
      </c>
      <c r="B346" s="2" t="s">
        <v>932</v>
      </c>
      <c r="C346" s="2" t="s">
        <v>681</v>
      </c>
      <c r="D346" s="12" t="s">
        <v>2042</v>
      </c>
      <c r="E346" s="12" t="s">
        <v>1785</v>
      </c>
      <c r="F346" s="2" t="s">
        <v>72</v>
      </c>
      <c r="G346" s="2" t="s">
        <v>1680</v>
      </c>
      <c r="H346" s="2" t="s">
        <v>294</v>
      </c>
      <c r="I346" s="2" t="s">
        <v>686</v>
      </c>
      <c r="J346" s="2" t="s">
        <v>1618</v>
      </c>
      <c r="K346" s="2" t="s">
        <v>67</v>
      </c>
      <c r="L346" s="16">
        <v>8150.9</v>
      </c>
      <c r="M346" s="11">
        <v>8150.9</v>
      </c>
      <c r="N346" s="2" t="s">
        <v>14</v>
      </c>
      <c r="O346" s="7">
        <v>0</v>
      </c>
      <c r="P346" s="7"/>
      <c r="Q346" s="7"/>
      <c r="R346" s="7"/>
      <c r="S346" s="7"/>
      <c r="T346" s="7"/>
      <c r="U346" s="7"/>
      <c r="V346" s="7"/>
      <c r="W346" s="7"/>
      <c r="X346" s="7"/>
      <c r="Y346" s="7"/>
      <c r="Z346" s="7"/>
      <c r="AA346" s="7">
        <v>8150.9</v>
      </c>
      <c r="AB346" s="7"/>
      <c r="AC346" s="7"/>
      <c r="AD346" s="7"/>
      <c r="AE346" s="7"/>
      <c r="AF346" s="7"/>
      <c r="AG346" s="7"/>
      <c r="AH346" s="7"/>
      <c r="AI346" s="7"/>
      <c r="AJ346" s="7"/>
      <c r="AK346" s="7"/>
      <c r="AL346" s="7"/>
      <c r="AM346" s="7"/>
      <c r="AN346" s="7"/>
      <c r="AO346" s="7"/>
      <c r="AP346" s="7"/>
      <c r="AQ346" s="7"/>
      <c r="AR346" s="7"/>
      <c r="AS346" s="7"/>
      <c r="AT346" s="7"/>
      <c r="AU346" s="7"/>
      <c r="AV346" s="7"/>
      <c r="AW346" s="7"/>
      <c r="AX346" s="7"/>
      <c r="AY346" s="7"/>
      <c r="AZ346" s="7"/>
      <c r="BA346" s="7"/>
      <c r="BB346" s="7"/>
      <c r="BC346" s="7"/>
      <c r="BD346" s="7"/>
      <c r="BE346" s="7"/>
      <c r="BF346" s="7"/>
      <c r="BG346" s="7"/>
      <c r="BH346" s="7"/>
      <c r="BI346" s="7"/>
      <c r="BJ346" s="7"/>
      <c r="BK346" s="7"/>
      <c r="BL346" s="7"/>
      <c r="BM346" s="7"/>
      <c r="BN346" s="7"/>
      <c r="BO346" s="7"/>
      <c r="BP346" s="7"/>
      <c r="BQ346" s="7"/>
      <c r="BR346" s="7"/>
      <c r="BS346" s="7"/>
      <c r="BT346" s="7"/>
      <c r="BU346" s="7"/>
      <c r="BV346" s="7"/>
      <c r="BW346" s="8"/>
      <c r="BX346" s="8">
        <v>45851</v>
      </c>
      <c r="BY346" s="2"/>
      <c r="BZ346" s="2"/>
      <c r="CA346" s="14">
        <f>SUM(O346:BV346)</f>
        <v>8150.9</v>
      </c>
      <c r="CB346" s="2" t="str">
        <f>IF(M346=CA346,"OK","CORRIGIR")</f>
        <v>OK</v>
      </c>
      <c r="CC346" s="13">
        <f>M346-CA346</f>
        <v>0</v>
      </c>
    </row>
    <row r="347" spans="1:81" s="9" customFormat="1" ht="88.5" hidden="1" customHeight="1" x14ac:dyDescent="0.25">
      <c r="A347" s="2" t="s">
        <v>1374</v>
      </c>
      <c r="B347" s="2" t="s">
        <v>614</v>
      </c>
      <c r="C347" s="2" t="s">
        <v>379</v>
      </c>
      <c r="D347" s="12" t="s">
        <v>615</v>
      </c>
      <c r="E347" s="2" t="s">
        <v>616</v>
      </c>
      <c r="F347" s="2" t="s">
        <v>72</v>
      </c>
      <c r="G347" s="2" t="s">
        <v>1668</v>
      </c>
      <c r="H347" s="2" t="s">
        <v>294</v>
      </c>
      <c r="I347" s="2" t="s">
        <v>1618</v>
      </c>
      <c r="J347" s="2" t="s">
        <v>1618</v>
      </c>
      <c r="K347" s="2" t="s">
        <v>384</v>
      </c>
      <c r="L347" s="16">
        <v>60000</v>
      </c>
      <c r="M347" s="11">
        <v>60000</v>
      </c>
      <c r="N347" s="2" t="s">
        <v>381</v>
      </c>
      <c r="O347" s="7"/>
      <c r="P347" s="7"/>
      <c r="Q347" s="7"/>
      <c r="R347" s="7">
        <v>60000</v>
      </c>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c r="AR347" s="7"/>
      <c r="AS347" s="7"/>
      <c r="AT347" s="7"/>
      <c r="AU347" s="7"/>
      <c r="AV347" s="7"/>
      <c r="AW347" s="7"/>
      <c r="AX347" s="7"/>
      <c r="AY347" s="7"/>
      <c r="AZ347" s="7"/>
      <c r="BA347" s="7"/>
      <c r="BB347" s="7"/>
      <c r="BC347" s="7"/>
      <c r="BD347" s="7"/>
      <c r="BE347" s="7"/>
      <c r="BF347" s="7"/>
      <c r="BG347" s="7"/>
      <c r="BH347" s="7"/>
      <c r="BI347" s="7"/>
      <c r="BJ347" s="7"/>
      <c r="BK347" s="7"/>
      <c r="BL347" s="7"/>
      <c r="BM347" s="7"/>
      <c r="BN347" s="7"/>
      <c r="BO347" s="7"/>
      <c r="BP347" s="7"/>
      <c r="BQ347" s="7"/>
      <c r="BR347" s="7"/>
      <c r="BS347" s="7"/>
      <c r="BT347" s="7"/>
      <c r="BU347" s="7"/>
      <c r="BV347" s="7"/>
      <c r="BW347" s="8"/>
      <c r="BX347" s="8">
        <v>45663</v>
      </c>
      <c r="BY347" s="2"/>
      <c r="BZ347" s="15"/>
      <c r="CA347" s="14">
        <f>SUM(O347:BV347)</f>
        <v>60000</v>
      </c>
      <c r="CB347" s="2" t="str">
        <f>IF(M347=CA347,"OK","CORRIGIR")</f>
        <v>OK</v>
      </c>
      <c r="CC347" s="13">
        <f>M347-CA347</f>
        <v>0</v>
      </c>
    </row>
    <row r="348" spans="1:81" s="9" customFormat="1" ht="97.5" hidden="1" customHeight="1" x14ac:dyDescent="0.25">
      <c r="A348" s="2" t="s">
        <v>1366</v>
      </c>
      <c r="B348" s="2" t="s">
        <v>477</v>
      </c>
      <c r="C348" s="2" t="s">
        <v>379</v>
      </c>
      <c r="D348" s="12" t="s">
        <v>478</v>
      </c>
      <c r="E348" s="2" t="s">
        <v>479</v>
      </c>
      <c r="F348" s="2" t="s">
        <v>72</v>
      </c>
      <c r="G348" s="2" t="s">
        <v>1668</v>
      </c>
      <c r="H348" s="2" t="s">
        <v>294</v>
      </c>
      <c r="I348" s="2" t="s">
        <v>1618</v>
      </c>
      <c r="J348" s="2" t="s">
        <v>1618</v>
      </c>
      <c r="K348" s="2" t="s">
        <v>384</v>
      </c>
      <c r="L348" s="16">
        <v>300000</v>
      </c>
      <c r="M348" s="11">
        <v>300000</v>
      </c>
      <c r="N348" s="2" t="s">
        <v>480</v>
      </c>
      <c r="O348" s="7"/>
      <c r="P348" s="7"/>
      <c r="Q348" s="7"/>
      <c r="R348" s="7">
        <v>300000</v>
      </c>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c r="AT348" s="7"/>
      <c r="AU348" s="7"/>
      <c r="AV348" s="7"/>
      <c r="AW348" s="7"/>
      <c r="AX348" s="7"/>
      <c r="AY348" s="7"/>
      <c r="AZ348" s="7"/>
      <c r="BA348" s="7"/>
      <c r="BB348" s="7"/>
      <c r="BC348" s="7"/>
      <c r="BD348" s="7"/>
      <c r="BE348" s="7"/>
      <c r="BF348" s="7"/>
      <c r="BG348" s="7"/>
      <c r="BH348" s="7"/>
      <c r="BI348" s="7"/>
      <c r="BJ348" s="7"/>
      <c r="BK348" s="7"/>
      <c r="BL348" s="7"/>
      <c r="BM348" s="7"/>
      <c r="BN348" s="7"/>
      <c r="BO348" s="7"/>
      <c r="BP348" s="7"/>
      <c r="BQ348" s="7"/>
      <c r="BR348" s="7"/>
      <c r="BS348" s="7"/>
      <c r="BT348" s="7"/>
      <c r="BU348" s="7"/>
      <c r="BV348" s="7"/>
      <c r="BW348" s="8"/>
      <c r="BX348" s="8">
        <v>45689</v>
      </c>
      <c r="BY348" s="2"/>
      <c r="BZ348" s="15"/>
      <c r="CA348" s="14"/>
      <c r="CB348" s="2"/>
      <c r="CC348" s="13"/>
    </row>
    <row r="349" spans="1:81" s="9" customFormat="1" ht="96" hidden="1" customHeight="1" x14ac:dyDescent="0.25">
      <c r="A349" s="2" t="s">
        <v>1283</v>
      </c>
      <c r="B349" s="2" t="s">
        <v>407</v>
      </c>
      <c r="C349" s="2" t="s">
        <v>379</v>
      </c>
      <c r="D349" s="12" t="s">
        <v>408</v>
      </c>
      <c r="E349" s="2" t="s">
        <v>409</v>
      </c>
      <c r="F349" s="2" t="s">
        <v>72</v>
      </c>
      <c r="G349" s="2" t="s">
        <v>1668</v>
      </c>
      <c r="H349" s="2" t="s">
        <v>294</v>
      </c>
      <c r="I349" s="2" t="s">
        <v>1618</v>
      </c>
      <c r="J349" s="2" t="s">
        <v>1618</v>
      </c>
      <c r="K349" s="2" t="s">
        <v>384</v>
      </c>
      <c r="L349" s="16">
        <v>2600000</v>
      </c>
      <c r="M349" s="16">
        <v>1000000</v>
      </c>
      <c r="N349" s="2" t="s">
        <v>403</v>
      </c>
      <c r="O349" s="7"/>
      <c r="P349" s="7"/>
      <c r="Q349" s="7"/>
      <c r="R349" s="7">
        <v>1000000</v>
      </c>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c r="AR349" s="7"/>
      <c r="AS349" s="7"/>
      <c r="AT349" s="7"/>
      <c r="AU349" s="7"/>
      <c r="AV349" s="7"/>
      <c r="AW349" s="7"/>
      <c r="AX349" s="7"/>
      <c r="AY349" s="7"/>
      <c r="AZ349" s="7"/>
      <c r="BA349" s="7"/>
      <c r="BB349" s="7"/>
      <c r="BC349" s="7"/>
      <c r="BD349" s="7"/>
      <c r="BE349" s="7"/>
      <c r="BF349" s="7"/>
      <c r="BG349" s="7"/>
      <c r="BH349" s="7"/>
      <c r="BI349" s="7"/>
      <c r="BJ349" s="7"/>
      <c r="BK349" s="7"/>
      <c r="BL349" s="7"/>
      <c r="BM349" s="7"/>
      <c r="BN349" s="7"/>
      <c r="BO349" s="7"/>
      <c r="BP349" s="7"/>
      <c r="BQ349" s="7"/>
      <c r="BR349" s="7"/>
      <c r="BS349" s="7"/>
      <c r="BT349" s="7"/>
      <c r="BU349" s="7"/>
      <c r="BV349" s="7"/>
      <c r="BW349" s="8"/>
      <c r="BX349" s="8">
        <v>45700</v>
      </c>
      <c r="BY349" s="2"/>
      <c r="BZ349" s="15"/>
      <c r="CA349" s="14"/>
      <c r="CB349" s="2"/>
      <c r="CC349" s="13"/>
    </row>
    <row r="350" spans="1:81" s="9" customFormat="1" ht="96" hidden="1" customHeight="1" x14ac:dyDescent="0.25">
      <c r="A350" s="2" t="s">
        <v>1280</v>
      </c>
      <c r="B350" s="2" t="s">
        <v>441</v>
      </c>
      <c r="C350" s="2" t="s">
        <v>379</v>
      </c>
      <c r="D350" s="12" t="s">
        <v>442</v>
      </c>
      <c r="E350" s="2" t="s">
        <v>443</v>
      </c>
      <c r="F350" s="2" t="s">
        <v>72</v>
      </c>
      <c r="G350" s="2" t="s">
        <v>1668</v>
      </c>
      <c r="H350" s="2" t="s">
        <v>294</v>
      </c>
      <c r="I350" s="2" t="s">
        <v>1618</v>
      </c>
      <c r="J350" s="2" t="s">
        <v>1618</v>
      </c>
      <c r="K350" s="2" t="s">
        <v>384</v>
      </c>
      <c r="L350" s="16">
        <v>3000000</v>
      </c>
      <c r="M350" s="16">
        <v>2000000</v>
      </c>
      <c r="N350" s="2" t="s">
        <v>403</v>
      </c>
      <c r="O350" s="7"/>
      <c r="P350" s="7"/>
      <c r="Q350" s="7"/>
      <c r="R350" s="7">
        <v>2000000</v>
      </c>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7"/>
      <c r="AZ350" s="7"/>
      <c r="BA350" s="7"/>
      <c r="BB350" s="7"/>
      <c r="BC350" s="7"/>
      <c r="BD350" s="7"/>
      <c r="BE350" s="7"/>
      <c r="BF350" s="7"/>
      <c r="BG350" s="7"/>
      <c r="BH350" s="7"/>
      <c r="BI350" s="7"/>
      <c r="BJ350" s="7"/>
      <c r="BK350" s="7"/>
      <c r="BL350" s="7"/>
      <c r="BM350" s="7"/>
      <c r="BN350" s="7"/>
      <c r="BO350" s="7"/>
      <c r="BP350" s="7"/>
      <c r="BQ350" s="7"/>
      <c r="BR350" s="7"/>
      <c r="BS350" s="7"/>
      <c r="BT350" s="7"/>
      <c r="BU350" s="7"/>
      <c r="BV350" s="7"/>
      <c r="BW350" s="8"/>
      <c r="BX350" s="8">
        <v>45705</v>
      </c>
      <c r="BY350" s="2"/>
      <c r="BZ350" s="15"/>
      <c r="CA350" s="14"/>
      <c r="CB350" s="2"/>
      <c r="CC350" s="13"/>
    </row>
    <row r="351" spans="1:81" s="9" customFormat="1" ht="96" hidden="1" customHeight="1" x14ac:dyDescent="0.25">
      <c r="A351" s="2" t="s">
        <v>1279</v>
      </c>
      <c r="B351" s="2" t="s">
        <v>431</v>
      </c>
      <c r="C351" s="2" t="s">
        <v>379</v>
      </c>
      <c r="D351" s="12" t="s">
        <v>432</v>
      </c>
      <c r="E351" s="2" t="s">
        <v>433</v>
      </c>
      <c r="F351" s="2" t="s">
        <v>72</v>
      </c>
      <c r="G351" s="2" t="s">
        <v>1668</v>
      </c>
      <c r="H351" s="2" t="s">
        <v>294</v>
      </c>
      <c r="I351" s="2" t="s">
        <v>1618</v>
      </c>
      <c r="J351" s="2" t="s">
        <v>1618</v>
      </c>
      <c r="K351" s="2" t="s">
        <v>384</v>
      </c>
      <c r="L351" s="16">
        <v>3300000</v>
      </c>
      <c r="M351" s="16">
        <v>2000000</v>
      </c>
      <c r="N351" s="2" t="s">
        <v>381</v>
      </c>
      <c r="O351" s="7"/>
      <c r="P351" s="7"/>
      <c r="Q351" s="7"/>
      <c r="R351" s="7">
        <v>2000000</v>
      </c>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c r="AV351" s="7"/>
      <c r="AW351" s="7"/>
      <c r="AX351" s="7"/>
      <c r="AY351" s="7"/>
      <c r="AZ351" s="7"/>
      <c r="BA351" s="7"/>
      <c r="BB351" s="7"/>
      <c r="BC351" s="7"/>
      <c r="BD351" s="7"/>
      <c r="BE351" s="7"/>
      <c r="BF351" s="7"/>
      <c r="BG351" s="7"/>
      <c r="BH351" s="7"/>
      <c r="BI351" s="7"/>
      <c r="BJ351" s="7"/>
      <c r="BK351" s="7"/>
      <c r="BL351" s="7"/>
      <c r="BM351" s="7"/>
      <c r="BN351" s="7"/>
      <c r="BO351" s="7"/>
      <c r="BP351" s="7"/>
      <c r="BQ351" s="7"/>
      <c r="BR351" s="7"/>
      <c r="BS351" s="7"/>
      <c r="BT351" s="7"/>
      <c r="BU351" s="7"/>
      <c r="BV351" s="7"/>
      <c r="BW351" s="8"/>
      <c r="BX351" s="8">
        <v>45713</v>
      </c>
      <c r="BY351" s="2"/>
      <c r="BZ351" s="2"/>
      <c r="CA351" s="14">
        <f t="shared" ref="CA351:CA382" si="42">SUM(O351:BV351)</f>
        <v>2000000</v>
      </c>
      <c r="CB351" s="2" t="str">
        <f t="shared" ref="CB351:CB382" si="43">IF(M351=CA351,"OK","CORRIGIR")</f>
        <v>OK</v>
      </c>
      <c r="CC351" s="13">
        <f t="shared" ref="CC351:CC382" si="44">M351-CA351</f>
        <v>0</v>
      </c>
    </row>
    <row r="352" spans="1:81" s="9" customFormat="1" ht="75.75" hidden="1" customHeight="1" x14ac:dyDescent="0.25">
      <c r="A352" s="2" t="s">
        <v>1284</v>
      </c>
      <c r="B352" s="2" t="s">
        <v>415</v>
      </c>
      <c r="C352" s="2" t="s">
        <v>379</v>
      </c>
      <c r="D352" s="12" t="s">
        <v>416</v>
      </c>
      <c r="E352" s="2" t="s">
        <v>417</v>
      </c>
      <c r="F352" s="2" t="s">
        <v>72</v>
      </c>
      <c r="G352" s="2" t="s">
        <v>1668</v>
      </c>
      <c r="H352" s="2" t="s">
        <v>294</v>
      </c>
      <c r="I352" s="2" t="s">
        <v>1618</v>
      </c>
      <c r="J352" s="2" t="s">
        <v>1618</v>
      </c>
      <c r="K352" s="2" t="s">
        <v>384</v>
      </c>
      <c r="L352" s="16">
        <v>2600000</v>
      </c>
      <c r="M352" s="11">
        <v>2600000</v>
      </c>
      <c r="N352" s="2" t="s">
        <v>403</v>
      </c>
      <c r="O352" s="7"/>
      <c r="P352" s="7"/>
      <c r="Q352" s="7"/>
      <c r="R352" s="7">
        <v>2600000</v>
      </c>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c r="AV352" s="7"/>
      <c r="AW352" s="7"/>
      <c r="AX352" s="7"/>
      <c r="AY352" s="7"/>
      <c r="AZ352" s="7"/>
      <c r="BA352" s="7"/>
      <c r="BB352" s="7"/>
      <c r="BC352" s="7"/>
      <c r="BD352" s="7"/>
      <c r="BE352" s="7"/>
      <c r="BF352" s="7"/>
      <c r="BG352" s="7"/>
      <c r="BH352" s="7"/>
      <c r="BI352" s="7"/>
      <c r="BJ352" s="7"/>
      <c r="BK352" s="7"/>
      <c r="BL352" s="7"/>
      <c r="BM352" s="7"/>
      <c r="BN352" s="7"/>
      <c r="BO352" s="7"/>
      <c r="BP352" s="7"/>
      <c r="BQ352" s="7"/>
      <c r="BR352" s="7"/>
      <c r="BS352" s="7"/>
      <c r="BT352" s="7"/>
      <c r="BU352" s="7"/>
      <c r="BV352" s="7"/>
      <c r="BW352" s="8"/>
      <c r="BX352" s="8">
        <v>45713</v>
      </c>
      <c r="BY352" s="2"/>
      <c r="BZ352" s="8"/>
      <c r="CA352" s="14">
        <f t="shared" si="42"/>
        <v>2600000</v>
      </c>
      <c r="CB352" s="2" t="str">
        <f t="shared" si="43"/>
        <v>OK</v>
      </c>
      <c r="CC352" s="13">
        <f t="shared" si="44"/>
        <v>0</v>
      </c>
    </row>
    <row r="353" spans="1:81" s="9" customFormat="1" ht="151.5" hidden="1" customHeight="1" x14ac:dyDescent="0.25">
      <c r="A353" s="2" t="s">
        <v>1309</v>
      </c>
      <c r="B353" s="2" t="s">
        <v>548</v>
      </c>
      <c r="C353" s="2" t="s">
        <v>379</v>
      </c>
      <c r="D353" s="12" t="s">
        <v>549</v>
      </c>
      <c r="E353" s="56" t="s">
        <v>550</v>
      </c>
      <c r="F353" s="2" t="s">
        <v>72</v>
      </c>
      <c r="G353" s="2" t="s">
        <v>1668</v>
      </c>
      <c r="H353" s="2" t="s">
        <v>294</v>
      </c>
      <c r="I353" s="2" t="s">
        <v>1618</v>
      </c>
      <c r="J353" s="2" t="s">
        <v>1618</v>
      </c>
      <c r="K353" s="2" t="s">
        <v>384</v>
      </c>
      <c r="L353" s="16">
        <v>1000000</v>
      </c>
      <c r="M353" s="11">
        <v>1000000</v>
      </c>
      <c r="N353" s="2" t="s">
        <v>11</v>
      </c>
      <c r="O353" s="7"/>
      <c r="P353" s="7"/>
      <c r="Q353" s="7"/>
      <c r="R353" s="7"/>
      <c r="S353" s="7"/>
      <c r="T353" s="7"/>
      <c r="U353" s="7">
        <f>M353</f>
        <v>1000000</v>
      </c>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c r="AT353" s="7"/>
      <c r="AU353" s="7"/>
      <c r="AV353" s="7"/>
      <c r="AW353" s="7"/>
      <c r="AX353" s="7"/>
      <c r="AY353" s="7"/>
      <c r="AZ353" s="7"/>
      <c r="BA353" s="7"/>
      <c r="BB353" s="7"/>
      <c r="BC353" s="7"/>
      <c r="BD353" s="7"/>
      <c r="BE353" s="7"/>
      <c r="BF353" s="7"/>
      <c r="BG353" s="7"/>
      <c r="BH353" s="7"/>
      <c r="BI353" s="7"/>
      <c r="BJ353" s="7"/>
      <c r="BK353" s="7"/>
      <c r="BL353" s="7"/>
      <c r="BM353" s="7"/>
      <c r="BN353" s="7"/>
      <c r="BO353" s="7"/>
      <c r="BP353" s="7"/>
      <c r="BQ353" s="7"/>
      <c r="BR353" s="7"/>
      <c r="BS353" s="7"/>
      <c r="BT353" s="7"/>
      <c r="BU353" s="7"/>
      <c r="BV353" s="7"/>
      <c r="BW353" s="8"/>
      <c r="BX353" s="8">
        <v>45713</v>
      </c>
      <c r="BY353" s="2"/>
      <c r="BZ353" s="15"/>
      <c r="CA353" s="14">
        <f t="shared" si="42"/>
        <v>1000000</v>
      </c>
      <c r="CB353" s="2" t="str">
        <f t="shared" si="43"/>
        <v>OK</v>
      </c>
      <c r="CC353" s="13">
        <f t="shared" si="44"/>
        <v>0</v>
      </c>
    </row>
    <row r="354" spans="1:81" s="9" customFormat="1" ht="103.5" hidden="1" customHeight="1" x14ac:dyDescent="0.25">
      <c r="A354" s="2" t="s">
        <v>1286</v>
      </c>
      <c r="B354" s="2" t="s">
        <v>447</v>
      </c>
      <c r="C354" s="2" t="s">
        <v>379</v>
      </c>
      <c r="D354" s="12" t="s">
        <v>448</v>
      </c>
      <c r="E354" s="2" t="s">
        <v>1748</v>
      </c>
      <c r="F354" s="2" t="s">
        <v>72</v>
      </c>
      <c r="G354" s="2" t="s">
        <v>1668</v>
      </c>
      <c r="H354" s="2" t="s">
        <v>294</v>
      </c>
      <c r="I354" s="2" t="s">
        <v>1618</v>
      </c>
      <c r="J354" s="2" t="s">
        <v>1618</v>
      </c>
      <c r="K354" s="2" t="s">
        <v>384</v>
      </c>
      <c r="L354" s="16">
        <v>2500000</v>
      </c>
      <c r="M354" s="16">
        <v>1500000</v>
      </c>
      <c r="N354" s="2" t="s">
        <v>403</v>
      </c>
      <c r="O354" s="7"/>
      <c r="P354" s="7"/>
      <c r="Q354" s="7"/>
      <c r="R354" s="7">
        <v>1500000</v>
      </c>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c r="AT354" s="7"/>
      <c r="AU354" s="7"/>
      <c r="AV354" s="7"/>
      <c r="AW354" s="7"/>
      <c r="AX354" s="7"/>
      <c r="AY354" s="7"/>
      <c r="AZ354" s="7"/>
      <c r="BA354" s="7"/>
      <c r="BB354" s="7"/>
      <c r="BC354" s="7"/>
      <c r="BD354" s="7"/>
      <c r="BE354" s="7"/>
      <c r="BF354" s="7"/>
      <c r="BG354" s="7"/>
      <c r="BH354" s="7"/>
      <c r="BI354" s="7"/>
      <c r="BJ354" s="7"/>
      <c r="BK354" s="7"/>
      <c r="BL354" s="7"/>
      <c r="BM354" s="7"/>
      <c r="BN354" s="7"/>
      <c r="BO354" s="7"/>
      <c r="BP354" s="7"/>
      <c r="BQ354" s="7"/>
      <c r="BR354" s="7"/>
      <c r="BS354" s="7"/>
      <c r="BT354" s="7"/>
      <c r="BU354" s="7"/>
      <c r="BV354" s="7"/>
      <c r="BW354" s="8"/>
      <c r="BX354" s="8">
        <v>45719</v>
      </c>
      <c r="BY354" s="2"/>
      <c r="BZ354" s="8"/>
      <c r="CA354" s="14">
        <f t="shared" si="42"/>
        <v>1500000</v>
      </c>
      <c r="CB354" s="2" t="str">
        <f t="shared" si="43"/>
        <v>OK</v>
      </c>
      <c r="CC354" s="13">
        <f t="shared" si="44"/>
        <v>0</v>
      </c>
    </row>
    <row r="355" spans="1:81" s="9" customFormat="1" ht="159" hidden="1" customHeight="1" x14ac:dyDescent="0.25">
      <c r="A355" s="2" t="s">
        <v>1313</v>
      </c>
      <c r="B355" s="2" t="s">
        <v>459</v>
      </c>
      <c r="C355" s="2" t="s">
        <v>379</v>
      </c>
      <c r="D355" s="12" t="s">
        <v>460</v>
      </c>
      <c r="E355" s="2" t="s">
        <v>461</v>
      </c>
      <c r="F355" s="2" t="s">
        <v>72</v>
      </c>
      <c r="G355" s="2" t="s">
        <v>1668</v>
      </c>
      <c r="H355" s="2" t="s">
        <v>294</v>
      </c>
      <c r="I355" s="2" t="s">
        <v>1618</v>
      </c>
      <c r="J355" s="2" t="s">
        <v>1618</v>
      </c>
      <c r="K355" s="2" t="s">
        <v>384</v>
      </c>
      <c r="L355" s="16">
        <v>1200000</v>
      </c>
      <c r="M355" s="11">
        <v>800000</v>
      </c>
      <c r="N355" s="2" t="s">
        <v>403</v>
      </c>
      <c r="O355" s="7"/>
      <c r="P355" s="7"/>
      <c r="Q355" s="7"/>
      <c r="R355" s="7">
        <v>800000</v>
      </c>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c r="AT355" s="7"/>
      <c r="AU355" s="7"/>
      <c r="AV355" s="7"/>
      <c r="AW355" s="7"/>
      <c r="AX355" s="7"/>
      <c r="AY355" s="7"/>
      <c r="AZ355" s="7"/>
      <c r="BA355" s="7"/>
      <c r="BB355" s="7"/>
      <c r="BC355" s="7"/>
      <c r="BD355" s="7"/>
      <c r="BE355" s="7"/>
      <c r="BF355" s="7"/>
      <c r="BG355" s="7"/>
      <c r="BH355" s="7"/>
      <c r="BI355" s="7"/>
      <c r="BJ355" s="7"/>
      <c r="BK355" s="7"/>
      <c r="BL355" s="7"/>
      <c r="BM355" s="7"/>
      <c r="BN355" s="7"/>
      <c r="BO355" s="7"/>
      <c r="BP355" s="7"/>
      <c r="BQ355" s="7"/>
      <c r="BR355" s="7"/>
      <c r="BS355" s="7"/>
      <c r="BT355" s="7"/>
      <c r="BU355" s="7"/>
      <c r="BV355" s="7"/>
      <c r="BW355" s="8"/>
      <c r="BX355" s="8">
        <v>45743</v>
      </c>
      <c r="BY355" s="2"/>
      <c r="BZ355" s="2"/>
      <c r="CA355" s="14">
        <f t="shared" si="42"/>
        <v>800000</v>
      </c>
      <c r="CB355" s="2" t="str">
        <f t="shared" si="43"/>
        <v>OK</v>
      </c>
      <c r="CC355" s="13">
        <f t="shared" si="44"/>
        <v>0</v>
      </c>
    </row>
    <row r="356" spans="1:81" s="9" customFormat="1" ht="106.5" hidden="1" customHeight="1" x14ac:dyDescent="0.25">
      <c r="A356" s="2" t="s">
        <v>1290</v>
      </c>
      <c r="B356" s="2" t="s">
        <v>395</v>
      </c>
      <c r="C356" s="2" t="s">
        <v>379</v>
      </c>
      <c r="D356" s="12" t="s">
        <v>396</v>
      </c>
      <c r="E356" s="2" t="s">
        <v>397</v>
      </c>
      <c r="F356" s="2" t="s">
        <v>72</v>
      </c>
      <c r="G356" s="2" t="s">
        <v>1668</v>
      </c>
      <c r="H356" s="2" t="s">
        <v>294</v>
      </c>
      <c r="I356" s="2" t="s">
        <v>1618</v>
      </c>
      <c r="J356" s="2" t="s">
        <v>1618</v>
      </c>
      <c r="K356" s="2" t="s">
        <v>384</v>
      </c>
      <c r="L356" s="16">
        <v>2000000</v>
      </c>
      <c r="M356" s="16">
        <v>1000000</v>
      </c>
      <c r="N356" s="2" t="s">
        <v>398</v>
      </c>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v>1000000</v>
      </c>
      <c r="AV356" s="7"/>
      <c r="AW356" s="7"/>
      <c r="AX356" s="7"/>
      <c r="AY356" s="7"/>
      <c r="AZ356" s="7"/>
      <c r="BA356" s="7"/>
      <c r="BB356" s="7"/>
      <c r="BC356" s="7"/>
      <c r="BD356" s="7"/>
      <c r="BE356" s="7"/>
      <c r="BF356" s="7"/>
      <c r="BG356" s="7"/>
      <c r="BH356" s="7"/>
      <c r="BI356" s="7"/>
      <c r="BJ356" s="7"/>
      <c r="BK356" s="7"/>
      <c r="BL356" s="7"/>
      <c r="BM356" s="7"/>
      <c r="BN356" s="7"/>
      <c r="BO356" s="7"/>
      <c r="BP356" s="7"/>
      <c r="BQ356" s="7"/>
      <c r="BR356" s="7"/>
      <c r="BS356" s="7"/>
      <c r="BT356" s="7"/>
      <c r="BU356" s="7"/>
      <c r="BV356" s="7"/>
      <c r="BW356" s="8"/>
      <c r="BX356" s="8">
        <v>45748</v>
      </c>
      <c r="BY356" s="2"/>
      <c r="BZ356" s="2"/>
      <c r="CA356" s="14">
        <f t="shared" si="42"/>
        <v>1000000</v>
      </c>
      <c r="CB356" s="2" t="str">
        <f t="shared" si="43"/>
        <v>OK</v>
      </c>
      <c r="CC356" s="13">
        <f t="shared" si="44"/>
        <v>0</v>
      </c>
    </row>
    <row r="357" spans="1:81" s="9" customFormat="1" ht="84.75" hidden="1" customHeight="1" x14ac:dyDescent="0.25">
      <c r="A357" s="2" t="s">
        <v>1371</v>
      </c>
      <c r="B357" s="2" t="s">
        <v>638</v>
      </c>
      <c r="C357" s="2" t="s">
        <v>379</v>
      </c>
      <c r="D357" s="12" t="s">
        <v>639</v>
      </c>
      <c r="E357" s="2" t="s">
        <v>640</v>
      </c>
      <c r="F357" s="2" t="s">
        <v>72</v>
      </c>
      <c r="G357" s="2" t="s">
        <v>1668</v>
      </c>
      <c r="H357" s="2" t="s">
        <v>294</v>
      </c>
      <c r="I357" s="2" t="s">
        <v>1618</v>
      </c>
      <c r="J357" s="2" t="s">
        <v>1618</v>
      </c>
      <c r="K357" s="2" t="s">
        <v>384</v>
      </c>
      <c r="L357" s="16">
        <v>200000</v>
      </c>
      <c r="M357" s="11">
        <v>200000</v>
      </c>
      <c r="N357" s="2" t="s">
        <v>381</v>
      </c>
      <c r="O357" s="7"/>
      <c r="P357" s="7"/>
      <c r="Q357" s="7"/>
      <c r="R357" s="7">
        <v>200000</v>
      </c>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c r="AT357" s="7"/>
      <c r="AU357" s="7"/>
      <c r="AV357" s="7"/>
      <c r="AW357" s="7"/>
      <c r="AX357" s="7"/>
      <c r="AY357" s="7"/>
      <c r="AZ357" s="7"/>
      <c r="BA357" s="7"/>
      <c r="BB357" s="7"/>
      <c r="BC357" s="7"/>
      <c r="BD357" s="7"/>
      <c r="BE357" s="7"/>
      <c r="BF357" s="7"/>
      <c r="BG357" s="7"/>
      <c r="BH357" s="7"/>
      <c r="BI357" s="7"/>
      <c r="BJ357" s="7"/>
      <c r="BK357" s="7"/>
      <c r="BL357" s="7"/>
      <c r="BM357" s="7"/>
      <c r="BN357" s="7"/>
      <c r="BO357" s="7"/>
      <c r="BP357" s="7"/>
      <c r="BQ357" s="7"/>
      <c r="BR357" s="7"/>
      <c r="BS357" s="7"/>
      <c r="BT357" s="7"/>
      <c r="BU357" s="7"/>
      <c r="BV357" s="7"/>
      <c r="BW357" s="8"/>
      <c r="BX357" s="8">
        <v>45775</v>
      </c>
      <c r="BY357" s="2"/>
      <c r="BZ357" s="2"/>
      <c r="CA357" s="14">
        <f t="shared" si="42"/>
        <v>200000</v>
      </c>
      <c r="CB357" s="2" t="str">
        <f t="shared" si="43"/>
        <v>OK</v>
      </c>
      <c r="CC357" s="13">
        <f t="shared" si="44"/>
        <v>0</v>
      </c>
    </row>
    <row r="358" spans="1:81" s="9" customFormat="1" ht="100.5" hidden="1" customHeight="1" x14ac:dyDescent="0.25">
      <c r="A358" s="2" t="s">
        <v>1285</v>
      </c>
      <c r="B358" s="2" t="s">
        <v>434</v>
      </c>
      <c r="C358" s="2" t="s">
        <v>379</v>
      </c>
      <c r="D358" s="12" t="s">
        <v>1755</v>
      </c>
      <c r="E358" s="2" t="s">
        <v>435</v>
      </c>
      <c r="F358" s="2" t="s">
        <v>72</v>
      </c>
      <c r="G358" s="2" t="s">
        <v>1668</v>
      </c>
      <c r="H358" s="2" t="s">
        <v>294</v>
      </c>
      <c r="I358" s="2" t="s">
        <v>1618</v>
      </c>
      <c r="J358" s="2" t="s">
        <v>1618</v>
      </c>
      <c r="K358" s="2" t="s">
        <v>384</v>
      </c>
      <c r="L358" s="16">
        <v>6611668.5199999996</v>
      </c>
      <c r="M358" s="11">
        <v>2500000</v>
      </c>
      <c r="N358" s="2" t="s">
        <v>23</v>
      </c>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f>M358</f>
        <v>2500000</v>
      </c>
      <c r="AU358" s="7"/>
      <c r="AV358" s="7"/>
      <c r="AW358" s="7"/>
      <c r="AX358" s="7"/>
      <c r="AY358" s="7"/>
      <c r="AZ358" s="7"/>
      <c r="BA358" s="7"/>
      <c r="BB358" s="7"/>
      <c r="BC358" s="7"/>
      <c r="BD358" s="7"/>
      <c r="BE358" s="7"/>
      <c r="BF358" s="7"/>
      <c r="BG358" s="7"/>
      <c r="BH358" s="7"/>
      <c r="BI358" s="7"/>
      <c r="BJ358" s="7"/>
      <c r="BK358" s="7"/>
      <c r="BL358" s="7"/>
      <c r="BM358" s="7"/>
      <c r="BN358" s="7"/>
      <c r="BO358" s="7"/>
      <c r="BP358" s="7"/>
      <c r="BQ358" s="7"/>
      <c r="BR358" s="7"/>
      <c r="BS358" s="7"/>
      <c r="BT358" s="7"/>
      <c r="BU358" s="7"/>
      <c r="BV358" s="7"/>
      <c r="BW358" s="8"/>
      <c r="BX358" s="8">
        <v>45796</v>
      </c>
      <c r="BY358" s="2"/>
      <c r="BZ358" s="57"/>
      <c r="CA358" s="14">
        <f t="shared" si="42"/>
        <v>2500000</v>
      </c>
      <c r="CB358" s="2" t="str">
        <f t="shared" si="43"/>
        <v>OK</v>
      </c>
      <c r="CC358" s="14">
        <f t="shared" si="44"/>
        <v>0</v>
      </c>
    </row>
    <row r="359" spans="1:81" s="9" customFormat="1" ht="93" hidden="1" customHeight="1" x14ac:dyDescent="0.25">
      <c r="A359" s="2" t="s">
        <v>1343</v>
      </c>
      <c r="B359" s="2" t="s">
        <v>582</v>
      </c>
      <c r="C359" s="2" t="s">
        <v>552</v>
      </c>
      <c r="D359" s="12" t="s">
        <v>1793</v>
      </c>
      <c r="E359" s="2" t="s">
        <v>583</v>
      </c>
      <c r="F359" s="2" t="s">
        <v>72</v>
      </c>
      <c r="G359" s="2" t="s">
        <v>1788</v>
      </c>
      <c r="H359" s="2" t="s">
        <v>294</v>
      </c>
      <c r="I359" s="2" t="s">
        <v>1618</v>
      </c>
      <c r="J359" s="2" t="s">
        <v>1618</v>
      </c>
      <c r="K359" s="2" t="s">
        <v>67</v>
      </c>
      <c r="L359" s="16">
        <v>31946958.27</v>
      </c>
      <c r="M359" s="11">
        <v>26123167.829999998</v>
      </c>
      <c r="N359" s="2" t="s">
        <v>558</v>
      </c>
      <c r="O359" s="7"/>
      <c r="P359" s="7"/>
      <c r="Q359" s="7"/>
      <c r="R359" s="7"/>
      <c r="S359" s="7"/>
      <c r="T359" s="7"/>
      <c r="U359" s="7"/>
      <c r="V359" s="7"/>
      <c r="W359" s="7"/>
      <c r="X359" s="7"/>
      <c r="Y359" s="7"/>
      <c r="Z359" s="7"/>
      <c r="AA359" s="30">
        <v>783695.03489999997</v>
      </c>
      <c r="AB359" s="7"/>
      <c r="AC359" s="7"/>
      <c r="AD359" s="7"/>
      <c r="AE359" s="7"/>
      <c r="AF359" s="7"/>
      <c r="AG359" s="30">
        <v>10971730.488599999</v>
      </c>
      <c r="AH359" s="30">
        <v>14367742.306500001</v>
      </c>
      <c r="AI359" s="7"/>
      <c r="AJ359" s="7"/>
      <c r="AK359" s="7"/>
      <c r="AL359" s="7"/>
      <c r="AM359" s="7"/>
      <c r="AN359" s="7"/>
      <c r="AO359" s="7"/>
      <c r="AP359" s="7"/>
      <c r="AQ359" s="7"/>
      <c r="AR359" s="7"/>
      <c r="AS359" s="7"/>
      <c r="AT359" s="7"/>
      <c r="AU359" s="7"/>
      <c r="AV359" s="7"/>
      <c r="AW359" s="7"/>
      <c r="AX359" s="7"/>
      <c r="AY359" s="7"/>
      <c r="AZ359" s="7"/>
      <c r="BA359" s="7"/>
      <c r="BB359" s="7"/>
      <c r="BC359" s="7"/>
      <c r="BD359" s="7"/>
      <c r="BE359" s="7"/>
      <c r="BF359" s="7"/>
      <c r="BG359" s="7"/>
      <c r="BH359" s="7"/>
      <c r="BI359" s="7"/>
      <c r="BJ359" s="7"/>
      <c r="BK359" s="7"/>
      <c r="BL359" s="7"/>
      <c r="BM359" s="7"/>
      <c r="BN359" s="7"/>
      <c r="BO359" s="7"/>
      <c r="BP359" s="7"/>
      <c r="BQ359" s="7"/>
      <c r="BR359" s="7"/>
      <c r="BS359" s="7"/>
      <c r="BT359" s="7"/>
      <c r="BU359" s="7"/>
      <c r="BV359" s="7"/>
      <c r="BW359" s="8"/>
      <c r="BX359" s="8">
        <v>45670</v>
      </c>
      <c r="BY359" s="2"/>
      <c r="BZ359" s="2"/>
      <c r="CA359" s="14">
        <f t="shared" si="42"/>
        <v>26123167.829999998</v>
      </c>
      <c r="CB359" s="2" t="str">
        <f t="shared" si="43"/>
        <v>OK</v>
      </c>
      <c r="CC359" s="13">
        <f t="shared" si="44"/>
        <v>0</v>
      </c>
    </row>
    <row r="360" spans="1:81" s="9" customFormat="1" ht="93.75" hidden="1" customHeight="1" x14ac:dyDescent="0.25">
      <c r="A360" s="2" t="s">
        <v>1337</v>
      </c>
      <c r="B360" s="2" t="s">
        <v>567</v>
      </c>
      <c r="C360" s="2" t="s">
        <v>552</v>
      </c>
      <c r="D360" s="12" t="s">
        <v>1789</v>
      </c>
      <c r="E360" s="2" t="s">
        <v>568</v>
      </c>
      <c r="F360" s="2" t="s">
        <v>72</v>
      </c>
      <c r="G360" s="2" t="s">
        <v>1788</v>
      </c>
      <c r="H360" s="2" t="s">
        <v>294</v>
      </c>
      <c r="I360" s="2" t="s">
        <v>1618</v>
      </c>
      <c r="J360" s="2" t="s">
        <v>1618</v>
      </c>
      <c r="K360" s="2" t="s">
        <v>67</v>
      </c>
      <c r="L360" s="16">
        <v>63545155.829999998</v>
      </c>
      <c r="M360" s="16">
        <v>27966520.629999999</v>
      </c>
      <c r="N360" s="2" t="s">
        <v>558</v>
      </c>
      <c r="O360" s="7"/>
      <c r="P360" s="7"/>
      <c r="Q360" s="7"/>
      <c r="R360" s="7"/>
      <c r="S360" s="7"/>
      <c r="T360" s="7"/>
      <c r="U360" s="7"/>
      <c r="V360" s="7"/>
      <c r="W360" s="7"/>
      <c r="X360" s="7"/>
      <c r="Y360" s="7"/>
      <c r="Z360" s="7"/>
      <c r="AA360" s="7">
        <v>838995.62</v>
      </c>
      <c r="AB360" s="7"/>
      <c r="AC360" s="7"/>
      <c r="AD360" s="7"/>
      <c r="AE360" s="7"/>
      <c r="AF360" s="7"/>
      <c r="AG360" s="7">
        <v>11745938.66</v>
      </c>
      <c r="AH360" s="30">
        <v>15381586.3465</v>
      </c>
      <c r="AI360" s="7"/>
      <c r="AJ360" s="7"/>
      <c r="AK360" s="7"/>
      <c r="AL360" s="7"/>
      <c r="AM360" s="7"/>
      <c r="AN360" s="7"/>
      <c r="AO360" s="7"/>
      <c r="AP360" s="7"/>
      <c r="AQ360" s="7"/>
      <c r="AR360" s="7"/>
      <c r="AS360" s="7"/>
      <c r="AT360" s="7"/>
      <c r="AU360" s="7"/>
      <c r="AV360" s="7"/>
      <c r="AW360" s="7"/>
      <c r="AX360" s="7"/>
      <c r="AY360" s="7"/>
      <c r="AZ360" s="7"/>
      <c r="BA360" s="7"/>
      <c r="BB360" s="7"/>
      <c r="BC360" s="7"/>
      <c r="BD360" s="7"/>
      <c r="BE360" s="7"/>
      <c r="BF360" s="7"/>
      <c r="BG360" s="7"/>
      <c r="BH360" s="7"/>
      <c r="BI360" s="7"/>
      <c r="BJ360" s="7"/>
      <c r="BK360" s="7"/>
      <c r="BL360" s="7"/>
      <c r="BM360" s="7"/>
      <c r="BN360" s="7"/>
      <c r="BO360" s="7"/>
      <c r="BP360" s="7"/>
      <c r="BQ360" s="7"/>
      <c r="BR360" s="7"/>
      <c r="BS360" s="7"/>
      <c r="BT360" s="7"/>
      <c r="BU360" s="7"/>
      <c r="BV360" s="7"/>
      <c r="BW360" s="8"/>
      <c r="BX360" s="8">
        <v>45719</v>
      </c>
      <c r="BY360" s="2"/>
      <c r="BZ360" s="8"/>
      <c r="CA360" s="14">
        <f t="shared" si="42"/>
        <v>27966520.626499999</v>
      </c>
      <c r="CB360" s="2" t="str">
        <f t="shared" si="43"/>
        <v>CORRIGIR</v>
      </c>
      <c r="CC360" s="13">
        <f t="shared" si="44"/>
        <v>3.4999996423721313E-3</v>
      </c>
    </row>
    <row r="361" spans="1:81" s="9" customFormat="1" ht="85.5" hidden="1" customHeight="1" x14ac:dyDescent="0.25">
      <c r="A361" s="2" t="s">
        <v>1338</v>
      </c>
      <c r="B361" s="2" t="s">
        <v>569</v>
      </c>
      <c r="C361" s="2" t="s">
        <v>552</v>
      </c>
      <c r="D361" s="12" t="s">
        <v>1790</v>
      </c>
      <c r="E361" s="2" t="s">
        <v>570</v>
      </c>
      <c r="F361" s="2" t="s">
        <v>72</v>
      </c>
      <c r="G361" s="2" t="s">
        <v>1788</v>
      </c>
      <c r="H361" s="2" t="s">
        <v>294</v>
      </c>
      <c r="I361" s="2" t="s">
        <v>1618</v>
      </c>
      <c r="J361" s="2" t="s">
        <v>1618</v>
      </c>
      <c r="K361" s="2" t="s">
        <v>67</v>
      </c>
      <c r="L361" s="16">
        <v>55136025.840000004</v>
      </c>
      <c r="M361" s="16">
        <v>22892697.899999999</v>
      </c>
      <c r="N361" s="2" t="s">
        <v>558</v>
      </c>
      <c r="O361" s="7"/>
      <c r="P361" s="7"/>
      <c r="Q361" s="7"/>
      <c r="R361" s="7"/>
      <c r="S361" s="7"/>
      <c r="T361" s="7"/>
      <c r="U361" s="7"/>
      <c r="V361" s="7"/>
      <c r="W361" s="7"/>
      <c r="X361" s="7"/>
      <c r="Y361" s="7"/>
      <c r="Z361" s="7"/>
      <c r="AA361" s="30">
        <v>686780.93699999992</v>
      </c>
      <c r="AB361" s="7"/>
      <c r="AC361" s="7"/>
      <c r="AD361" s="7"/>
      <c r="AE361" s="7"/>
      <c r="AF361" s="7"/>
      <c r="AG361" s="30">
        <v>9614933.1179999989</v>
      </c>
      <c r="AH361" s="30">
        <v>12590983.845000001</v>
      </c>
      <c r="AI361" s="7"/>
      <c r="AJ361" s="7"/>
      <c r="AK361" s="7"/>
      <c r="AL361" s="7"/>
      <c r="AM361" s="7"/>
      <c r="AN361" s="7"/>
      <c r="AO361" s="7"/>
      <c r="AP361" s="7"/>
      <c r="AQ361" s="7"/>
      <c r="AR361" s="7"/>
      <c r="AS361" s="7"/>
      <c r="AT361" s="7"/>
      <c r="AU361" s="7"/>
      <c r="AV361" s="7"/>
      <c r="AW361" s="7"/>
      <c r="AX361" s="7"/>
      <c r="AY361" s="7"/>
      <c r="AZ361" s="7"/>
      <c r="BA361" s="7"/>
      <c r="BB361" s="7"/>
      <c r="BC361" s="7"/>
      <c r="BD361" s="7"/>
      <c r="BE361" s="7"/>
      <c r="BF361" s="7"/>
      <c r="BG361" s="7"/>
      <c r="BH361" s="7"/>
      <c r="BI361" s="7"/>
      <c r="BJ361" s="7"/>
      <c r="BK361" s="7"/>
      <c r="BL361" s="7"/>
      <c r="BM361" s="7"/>
      <c r="BN361" s="7"/>
      <c r="BO361" s="7"/>
      <c r="BP361" s="7"/>
      <c r="BQ361" s="7"/>
      <c r="BR361" s="7"/>
      <c r="BS361" s="7"/>
      <c r="BT361" s="7"/>
      <c r="BU361" s="7"/>
      <c r="BV361" s="7"/>
      <c r="BW361" s="8"/>
      <c r="BX361" s="8">
        <v>45753</v>
      </c>
      <c r="BY361" s="2"/>
      <c r="BZ361" s="8"/>
      <c r="CA361" s="14">
        <f t="shared" si="42"/>
        <v>22892697.899999999</v>
      </c>
      <c r="CB361" s="2" t="str">
        <f t="shared" si="43"/>
        <v>OK</v>
      </c>
      <c r="CC361" s="13">
        <f t="shared" si="44"/>
        <v>0</v>
      </c>
    </row>
    <row r="362" spans="1:81" s="9" customFormat="1" ht="142.5" hidden="1" customHeight="1" x14ac:dyDescent="0.25">
      <c r="A362" s="2" t="s">
        <v>1336</v>
      </c>
      <c r="B362" s="2" t="s">
        <v>556</v>
      </c>
      <c r="C362" s="2" t="s">
        <v>552</v>
      </c>
      <c r="D362" s="12" t="s">
        <v>1787</v>
      </c>
      <c r="E362" s="15" t="s">
        <v>557</v>
      </c>
      <c r="F362" s="2" t="s">
        <v>65</v>
      </c>
      <c r="G362" s="2" t="s">
        <v>1788</v>
      </c>
      <c r="H362" s="2" t="s">
        <v>294</v>
      </c>
      <c r="I362" s="2" t="s">
        <v>1618</v>
      </c>
      <c r="J362" s="2" t="s">
        <v>1618</v>
      </c>
      <c r="K362" s="2" t="s">
        <v>67</v>
      </c>
      <c r="L362" s="16">
        <v>65683795.469999999</v>
      </c>
      <c r="M362" s="11">
        <v>19497636.059999999</v>
      </c>
      <c r="N362" s="2" t="s">
        <v>558</v>
      </c>
      <c r="O362" s="7"/>
      <c r="P362" s="7"/>
      <c r="Q362" s="7"/>
      <c r="R362" s="7"/>
      <c r="S362" s="7"/>
      <c r="T362" s="7"/>
      <c r="U362" s="7"/>
      <c r="V362" s="7"/>
      <c r="W362" s="7"/>
      <c r="X362" s="7"/>
      <c r="Y362" s="7"/>
      <c r="Z362" s="7"/>
      <c r="AA362" s="7">
        <v>584929.07999999996</v>
      </c>
      <c r="AB362" s="7"/>
      <c r="AC362" s="7"/>
      <c r="AD362" s="7"/>
      <c r="AE362" s="7"/>
      <c r="AF362" s="7"/>
      <c r="AG362" s="7">
        <v>8189007.1500000004</v>
      </c>
      <c r="AH362" s="7">
        <v>10723699.83</v>
      </c>
      <c r="AI362" s="7"/>
      <c r="AJ362" s="7"/>
      <c r="AK362" s="7"/>
      <c r="AL362" s="7"/>
      <c r="AM362" s="7"/>
      <c r="AN362" s="7"/>
      <c r="AO362" s="7"/>
      <c r="AP362" s="7"/>
      <c r="AQ362" s="7"/>
      <c r="AR362" s="7"/>
      <c r="AS362" s="7"/>
      <c r="AT362" s="7"/>
      <c r="AU362" s="7"/>
      <c r="AV362" s="7"/>
      <c r="AW362" s="7"/>
      <c r="AX362" s="7"/>
      <c r="AY362" s="7"/>
      <c r="AZ362" s="7"/>
      <c r="BA362" s="7"/>
      <c r="BB362" s="7"/>
      <c r="BC362" s="7"/>
      <c r="BD362" s="7"/>
      <c r="BE362" s="7"/>
      <c r="BF362" s="7"/>
      <c r="BG362" s="7"/>
      <c r="BH362" s="7"/>
      <c r="BI362" s="7"/>
      <c r="BJ362" s="7"/>
      <c r="BK362" s="7"/>
      <c r="BL362" s="7"/>
      <c r="BM362" s="7"/>
      <c r="BN362" s="7"/>
      <c r="BO362" s="7"/>
      <c r="BP362" s="7"/>
      <c r="BQ362" s="7"/>
      <c r="BR362" s="7"/>
      <c r="BS362" s="7"/>
      <c r="BT362" s="7"/>
      <c r="BU362" s="7"/>
      <c r="BV362" s="7"/>
      <c r="BW362" s="8"/>
      <c r="BX362" s="8">
        <v>45883</v>
      </c>
      <c r="BY362" s="2"/>
      <c r="BZ362" s="8"/>
      <c r="CA362" s="14">
        <f t="shared" si="42"/>
        <v>19497636.060000002</v>
      </c>
      <c r="CB362" s="2" t="str">
        <f t="shared" si="43"/>
        <v>OK</v>
      </c>
      <c r="CC362" s="13">
        <f t="shared" si="44"/>
        <v>0</v>
      </c>
    </row>
    <row r="363" spans="1:81" s="9" customFormat="1" ht="95.25" hidden="1" customHeight="1" x14ac:dyDescent="0.25">
      <c r="A363" s="2" t="s">
        <v>1339</v>
      </c>
      <c r="B363" s="2" t="s">
        <v>566</v>
      </c>
      <c r="C363" s="2" t="s">
        <v>552</v>
      </c>
      <c r="D363" s="12" t="s">
        <v>1791</v>
      </c>
      <c r="E363" s="2" t="s">
        <v>564</v>
      </c>
      <c r="F363" s="2" t="s">
        <v>72</v>
      </c>
      <c r="G363" s="2" t="s">
        <v>1788</v>
      </c>
      <c r="H363" s="2" t="s">
        <v>294</v>
      </c>
      <c r="I363" s="2" t="s">
        <v>1618</v>
      </c>
      <c r="J363" s="2" t="s">
        <v>1618</v>
      </c>
      <c r="K363" s="2" t="s">
        <v>67</v>
      </c>
      <c r="L363" s="16">
        <v>42623891.539999999</v>
      </c>
      <c r="M363" s="16">
        <v>21452245.120000001</v>
      </c>
      <c r="N363" s="2" t="s">
        <v>558</v>
      </c>
      <c r="O363" s="7"/>
      <c r="P363" s="7"/>
      <c r="Q363" s="7"/>
      <c r="R363" s="7"/>
      <c r="S363" s="7"/>
      <c r="T363" s="7"/>
      <c r="U363" s="7"/>
      <c r="V363" s="7"/>
      <c r="W363" s="7"/>
      <c r="X363" s="7"/>
      <c r="Y363" s="7"/>
      <c r="Z363" s="7"/>
      <c r="AA363" s="30">
        <v>643567.35360000003</v>
      </c>
      <c r="AB363" s="7"/>
      <c r="AC363" s="7"/>
      <c r="AD363" s="7"/>
      <c r="AE363" s="7"/>
      <c r="AF363" s="7"/>
      <c r="AG363" s="30">
        <v>9009942.9504000004</v>
      </c>
      <c r="AH363" s="30">
        <v>11798734.816000002</v>
      </c>
      <c r="AI363" s="7"/>
      <c r="AJ363" s="7"/>
      <c r="AK363" s="7"/>
      <c r="AL363" s="7"/>
      <c r="AM363" s="7"/>
      <c r="AN363" s="7"/>
      <c r="AO363" s="7"/>
      <c r="AP363" s="7"/>
      <c r="AQ363" s="7"/>
      <c r="AR363" s="7"/>
      <c r="AS363" s="7"/>
      <c r="AT363" s="7"/>
      <c r="AU363" s="7"/>
      <c r="AV363" s="7"/>
      <c r="AW363" s="7"/>
      <c r="AX363" s="7"/>
      <c r="AY363" s="7"/>
      <c r="AZ363" s="7"/>
      <c r="BA363" s="7"/>
      <c r="BB363" s="7"/>
      <c r="BC363" s="7"/>
      <c r="BD363" s="7"/>
      <c r="BE363" s="7"/>
      <c r="BF363" s="7"/>
      <c r="BG363" s="7"/>
      <c r="BH363" s="7"/>
      <c r="BI363" s="7"/>
      <c r="BJ363" s="7"/>
      <c r="BK363" s="7"/>
      <c r="BL363" s="7"/>
      <c r="BM363" s="7"/>
      <c r="BN363" s="7"/>
      <c r="BO363" s="7"/>
      <c r="BP363" s="7"/>
      <c r="BQ363" s="7"/>
      <c r="BR363" s="7"/>
      <c r="BS363" s="7"/>
      <c r="BT363" s="7"/>
      <c r="BU363" s="7"/>
      <c r="BV363" s="7"/>
      <c r="BW363" s="8"/>
      <c r="BX363" s="8">
        <v>45920</v>
      </c>
      <c r="BY363" s="2"/>
      <c r="BZ363" s="8"/>
      <c r="CA363" s="14">
        <f t="shared" si="42"/>
        <v>21452245.120000005</v>
      </c>
      <c r="CB363" s="2" t="str">
        <f t="shared" si="43"/>
        <v>OK</v>
      </c>
      <c r="CC363" s="13">
        <f t="shared" si="44"/>
        <v>0</v>
      </c>
    </row>
    <row r="364" spans="1:81" s="9" customFormat="1" ht="91.5" hidden="1" customHeight="1" x14ac:dyDescent="0.25">
      <c r="A364" s="2" t="s">
        <v>1610</v>
      </c>
      <c r="B364" s="2" t="s">
        <v>1615</v>
      </c>
      <c r="C364" s="2" t="s">
        <v>1048</v>
      </c>
      <c r="D364" s="12" t="s">
        <v>1617</v>
      </c>
      <c r="E364" s="2" t="s">
        <v>1616</v>
      </c>
      <c r="F364" s="2" t="s">
        <v>72</v>
      </c>
      <c r="G364" s="2" t="s">
        <v>1699</v>
      </c>
      <c r="H364" s="7" t="s">
        <v>294</v>
      </c>
      <c r="I364" s="7" t="s">
        <v>686</v>
      </c>
      <c r="J364" s="7" t="s">
        <v>1618</v>
      </c>
      <c r="K364" s="2" t="s">
        <v>67</v>
      </c>
      <c r="L364" s="27">
        <v>15675</v>
      </c>
      <c r="M364" s="26">
        <v>9900</v>
      </c>
      <c r="N364" s="2" t="s">
        <v>14</v>
      </c>
      <c r="O364" s="7"/>
      <c r="P364" s="7"/>
      <c r="Q364" s="7"/>
      <c r="R364" s="7"/>
      <c r="S364" s="7"/>
      <c r="T364" s="7"/>
      <c r="U364" s="7"/>
      <c r="V364" s="2"/>
      <c r="W364" s="7"/>
      <c r="X364" s="7"/>
      <c r="Y364" s="2"/>
      <c r="Z364" s="2"/>
      <c r="AA364" s="7">
        <v>9900</v>
      </c>
      <c r="AB364" s="7"/>
      <c r="AC364" s="2"/>
      <c r="AD364" s="7"/>
      <c r="AE364" s="7"/>
      <c r="AF364" s="7"/>
      <c r="AG364" s="7"/>
      <c r="AH364" s="2"/>
      <c r="AI364" s="7"/>
      <c r="AJ364" s="7"/>
      <c r="AK364" s="7"/>
      <c r="AL364" s="7"/>
      <c r="AM364" s="7"/>
      <c r="AN364" s="7"/>
      <c r="AO364" s="7"/>
      <c r="AP364" s="7"/>
      <c r="AQ364" s="7"/>
      <c r="AR364" s="7"/>
      <c r="AS364" s="7"/>
      <c r="AT364" s="7"/>
      <c r="AU364" s="7"/>
      <c r="AV364" s="7"/>
      <c r="AW364" s="2"/>
      <c r="AX364" s="2"/>
      <c r="AY364" s="7"/>
      <c r="AZ364" s="7"/>
      <c r="BA364" s="7"/>
      <c r="BB364" s="7"/>
      <c r="BC364" s="7"/>
      <c r="BD364" s="7"/>
      <c r="BE364" s="7"/>
      <c r="BF364" s="7"/>
      <c r="BG364" s="7"/>
      <c r="BH364" s="2"/>
      <c r="BI364" s="2"/>
      <c r="BJ364" s="2"/>
      <c r="BK364" s="2"/>
      <c r="BL364" s="7"/>
      <c r="BM364" s="7"/>
      <c r="BN364" s="7"/>
      <c r="BO364" s="7"/>
      <c r="BP364" s="7"/>
      <c r="BQ364" s="7"/>
      <c r="BR364" s="7"/>
      <c r="BS364" s="7"/>
      <c r="BT364" s="7"/>
      <c r="BU364" s="7"/>
      <c r="BV364" s="7"/>
      <c r="BW364" s="2"/>
      <c r="BX364" s="8">
        <v>45851</v>
      </c>
      <c r="BY364" s="2"/>
      <c r="BZ364" s="8"/>
      <c r="CA364" s="14">
        <f t="shared" si="42"/>
        <v>9900</v>
      </c>
      <c r="CB364" s="2" t="str">
        <f t="shared" si="43"/>
        <v>OK</v>
      </c>
      <c r="CC364" s="13">
        <f t="shared" si="44"/>
        <v>0</v>
      </c>
    </row>
    <row r="365" spans="1:81" s="9" customFormat="1" ht="96.75" hidden="1" customHeight="1" x14ac:dyDescent="0.25">
      <c r="A365" s="2" t="s">
        <v>1393</v>
      </c>
      <c r="B365" s="2" t="s">
        <v>960</v>
      </c>
      <c r="C365" s="2" t="s">
        <v>681</v>
      </c>
      <c r="D365" s="12" t="s">
        <v>961</v>
      </c>
      <c r="E365" s="2" t="s">
        <v>1772</v>
      </c>
      <c r="F365" s="2" t="s">
        <v>334</v>
      </c>
      <c r="G365" s="2" t="s">
        <v>2029</v>
      </c>
      <c r="H365" s="2" t="s">
        <v>294</v>
      </c>
      <c r="I365" s="2" t="s">
        <v>1618</v>
      </c>
      <c r="J365" s="2" t="s">
        <v>1618</v>
      </c>
      <c r="K365" s="2" t="s">
        <v>67</v>
      </c>
      <c r="L365" s="16">
        <v>2468624.42</v>
      </c>
      <c r="M365" s="11">
        <v>2468624.42</v>
      </c>
      <c r="N365" s="2" t="s">
        <v>14</v>
      </c>
      <c r="O365" s="7">
        <v>0</v>
      </c>
      <c r="P365" s="7"/>
      <c r="Q365" s="7"/>
      <c r="R365" s="7"/>
      <c r="S365" s="7"/>
      <c r="T365" s="7"/>
      <c r="U365" s="7"/>
      <c r="V365" s="7"/>
      <c r="W365" s="7"/>
      <c r="X365" s="7"/>
      <c r="Y365" s="7"/>
      <c r="Z365" s="7"/>
      <c r="AA365" s="7">
        <v>2468624.42</v>
      </c>
      <c r="AB365" s="7"/>
      <c r="AC365" s="7"/>
      <c r="AD365" s="7"/>
      <c r="AE365" s="7"/>
      <c r="AF365" s="7"/>
      <c r="AG365" s="7"/>
      <c r="AH365" s="7"/>
      <c r="AI365" s="7"/>
      <c r="AJ365" s="7"/>
      <c r="AK365" s="7"/>
      <c r="AL365" s="7"/>
      <c r="AM365" s="7"/>
      <c r="AN365" s="7"/>
      <c r="AO365" s="7"/>
      <c r="AP365" s="7"/>
      <c r="AQ365" s="7"/>
      <c r="AR365" s="7"/>
      <c r="AS365" s="7"/>
      <c r="AT365" s="7"/>
      <c r="AU365" s="7"/>
      <c r="AV365" s="7"/>
      <c r="AW365" s="7"/>
      <c r="AX365" s="7"/>
      <c r="AY365" s="7"/>
      <c r="AZ365" s="7"/>
      <c r="BA365" s="7"/>
      <c r="BB365" s="7"/>
      <c r="BC365" s="7"/>
      <c r="BD365" s="7"/>
      <c r="BE365" s="7"/>
      <c r="BF365" s="7"/>
      <c r="BG365" s="7"/>
      <c r="BH365" s="7"/>
      <c r="BI365" s="7"/>
      <c r="BJ365" s="7"/>
      <c r="BK365" s="7"/>
      <c r="BL365" s="7"/>
      <c r="BM365" s="7"/>
      <c r="BN365" s="7"/>
      <c r="BO365" s="7"/>
      <c r="BP365" s="7"/>
      <c r="BQ365" s="7"/>
      <c r="BR365" s="7"/>
      <c r="BS365" s="7"/>
      <c r="BT365" s="7"/>
      <c r="BU365" s="7"/>
      <c r="BV365" s="7"/>
      <c r="BW365" s="8"/>
      <c r="BX365" s="8">
        <v>45929</v>
      </c>
      <c r="BY365" s="2"/>
      <c r="BZ365" s="2"/>
      <c r="CA365" s="14">
        <f t="shared" si="42"/>
        <v>2468624.42</v>
      </c>
      <c r="CB365" s="2" t="str">
        <f t="shared" si="43"/>
        <v>OK</v>
      </c>
      <c r="CC365" s="13">
        <f t="shared" si="44"/>
        <v>0</v>
      </c>
    </row>
    <row r="366" spans="1:81" s="9" customFormat="1" ht="95.25" hidden="1" customHeight="1" x14ac:dyDescent="0.25">
      <c r="A366" s="2" t="s">
        <v>1428</v>
      </c>
      <c r="B366" s="2" t="s">
        <v>837</v>
      </c>
      <c r="C366" s="2" t="s">
        <v>681</v>
      </c>
      <c r="D366" s="12" t="s">
        <v>838</v>
      </c>
      <c r="E366" s="12" t="s">
        <v>839</v>
      </c>
      <c r="F366" s="2" t="s">
        <v>72</v>
      </c>
      <c r="G366" s="2" t="s">
        <v>2029</v>
      </c>
      <c r="H366" s="2" t="s">
        <v>294</v>
      </c>
      <c r="I366" s="2" t="s">
        <v>1618</v>
      </c>
      <c r="J366" s="2" t="s">
        <v>1618</v>
      </c>
      <c r="K366" s="2" t="s">
        <v>67</v>
      </c>
      <c r="L366" s="16">
        <v>446279.42</v>
      </c>
      <c r="M366" s="11">
        <v>457151.99</v>
      </c>
      <c r="N366" s="2" t="s">
        <v>14</v>
      </c>
      <c r="O366" s="7">
        <v>0</v>
      </c>
      <c r="P366" s="7"/>
      <c r="Q366" s="7"/>
      <c r="R366" s="7"/>
      <c r="S366" s="7"/>
      <c r="T366" s="7"/>
      <c r="U366" s="7"/>
      <c r="V366" s="7"/>
      <c r="W366" s="7"/>
      <c r="X366" s="7"/>
      <c r="Y366" s="7"/>
      <c r="Z366" s="7"/>
      <c r="AA366" s="7">
        <v>457151.99</v>
      </c>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c r="AZ366" s="7"/>
      <c r="BA366" s="7"/>
      <c r="BB366" s="7"/>
      <c r="BC366" s="7"/>
      <c r="BD366" s="7"/>
      <c r="BE366" s="7"/>
      <c r="BF366" s="7"/>
      <c r="BG366" s="7"/>
      <c r="BH366" s="7"/>
      <c r="BI366" s="7"/>
      <c r="BJ366" s="7"/>
      <c r="BK366" s="7"/>
      <c r="BL366" s="7"/>
      <c r="BM366" s="7"/>
      <c r="BN366" s="7"/>
      <c r="BO366" s="7"/>
      <c r="BP366" s="7"/>
      <c r="BQ366" s="7"/>
      <c r="BR366" s="7"/>
      <c r="BS366" s="7"/>
      <c r="BT366" s="7"/>
      <c r="BU366" s="7"/>
      <c r="BV366" s="7"/>
      <c r="BW366" s="8"/>
      <c r="BX366" s="8">
        <v>45949</v>
      </c>
      <c r="BY366" s="2"/>
      <c r="BZ366" s="2"/>
      <c r="CA366" s="14">
        <f t="shared" si="42"/>
        <v>457151.99</v>
      </c>
      <c r="CB366" s="2" t="str">
        <f t="shared" si="43"/>
        <v>OK</v>
      </c>
      <c r="CC366" s="13">
        <f t="shared" si="44"/>
        <v>0</v>
      </c>
    </row>
    <row r="367" spans="1:81" s="9" customFormat="1" ht="110.1" hidden="1" customHeight="1" x14ac:dyDescent="0.25">
      <c r="A367" s="2" t="s">
        <v>1521</v>
      </c>
      <c r="B367" s="2" t="s">
        <v>933</v>
      </c>
      <c r="C367" s="2" t="s">
        <v>681</v>
      </c>
      <c r="D367" s="12" t="s">
        <v>934</v>
      </c>
      <c r="E367" s="12" t="s">
        <v>1783</v>
      </c>
      <c r="F367" s="2" t="s">
        <v>72</v>
      </c>
      <c r="G367" s="2" t="s">
        <v>2029</v>
      </c>
      <c r="H367" s="2" t="s">
        <v>294</v>
      </c>
      <c r="I367" s="2" t="s">
        <v>686</v>
      </c>
      <c r="J367" s="2" t="s">
        <v>1618</v>
      </c>
      <c r="K367" s="2" t="s">
        <v>67</v>
      </c>
      <c r="L367" s="16">
        <v>16296</v>
      </c>
      <c r="M367" s="11">
        <v>8486.3700000000008</v>
      </c>
      <c r="N367" s="2" t="s">
        <v>14</v>
      </c>
      <c r="O367" s="7">
        <v>0</v>
      </c>
      <c r="P367" s="7"/>
      <c r="Q367" s="7"/>
      <c r="R367" s="7"/>
      <c r="S367" s="7"/>
      <c r="T367" s="7"/>
      <c r="U367" s="7"/>
      <c r="V367" s="7"/>
      <c r="W367" s="7"/>
      <c r="X367" s="7"/>
      <c r="Y367" s="7"/>
      <c r="Z367" s="7"/>
      <c r="AA367" s="7">
        <v>8486.3700000000008</v>
      </c>
      <c r="AB367" s="7"/>
      <c r="AC367" s="7"/>
      <c r="AD367" s="7"/>
      <c r="AE367" s="7"/>
      <c r="AF367" s="7"/>
      <c r="AG367" s="7"/>
      <c r="AH367" s="7"/>
      <c r="AI367" s="7"/>
      <c r="AJ367" s="7"/>
      <c r="AK367" s="7"/>
      <c r="AL367" s="7"/>
      <c r="AM367" s="7"/>
      <c r="AN367" s="7"/>
      <c r="AO367" s="7"/>
      <c r="AP367" s="7"/>
      <c r="AQ367" s="7"/>
      <c r="AR367" s="7"/>
      <c r="AS367" s="7"/>
      <c r="AT367" s="7"/>
      <c r="AU367" s="7"/>
      <c r="AV367" s="7"/>
      <c r="AW367" s="7"/>
      <c r="AX367" s="7"/>
      <c r="AY367" s="7"/>
      <c r="AZ367" s="7"/>
      <c r="BA367" s="7"/>
      <c r="BB367" s="7"/>
      <c r="BC367" s="7"/>
      <c r="BD367" s="7"/>
      <c r="BE367" s="7"/>
      <c r="BF367" s="7"/>
      <c r="BG367" s="7"/>
      <c r="BH367" s="7"/>
      <c r="BI367" s="7"/>
      <c r="BJ367" s="7"/>
      <c r="BK367" s="7"/>
      <c r="BL367" s="7"/>
      <c r="BM367" s="7"/>
      <c r="BN367" s="7"/>
      <c r="BO367" s="7"/>
      <c r="BP367" s="7"/>
      <c r="BQ367" s="7"/>
      <c r="BR367" s="7"/>
      <c r="BS367" s="7"/>
      <c r="BT367" s="7"/>
      <c r="BU367" s="7"/>
      <c r="BV367" s="7"/>
      <c r="BW367" s="8"/>
      <c r="BX367" s="8">
        <v>46253</v>
      </c>
      <c r="BY367" s="2"/>
      <c r="BZ367" s="2"/>
      <c r="CA367" s="14">
        <f t="shared" si="42"/>
        <v>8486.3700000000008</v>
      </c>
      <c r="CB367" s="2" t="str">
        <f t="shared" si="43"/>
        <v>OK</v>
      </c>
      <c r="CC367" s="13">
        <f t="shared" si="44"/>
        <v>0</v>
      </c>
    </row>
    <row r="368" spans="1:81" s="9" customFormat="1" ht="110.1" hidden="1" customHeight="1" x14ac:dyDescent="0.25">
      <c r="A368" s="2" t="s">
        <v>1529</v>
      </c>
      <c r="B368" s="2" t="s">
        <v>871</v>
      </c>
      <c r="C368" s="2" t="s">
        <v>681</v>
      </c>
      <c r="D368" s="12" t="s">
        <v>872</v>
      </c>
      <c r="E368" s="12" t="s">
        <v>1786</v>
      </c>
      <c r="F368" s="2" t="s">
        <v>72</v>
      </c>
      <c r="G368" s="2" t="s">
        <v>2029</v>
      </c>
      <c r="H368" s="2" t="s">
        <v>294</v>
      </c>
      <c r="I368" s="2" t="s">
        <v>686</v>
      </c>
      <c r="J368" s="2" t="s">
        <v>1618</v>
      </c>
      <c r="K368" s="2" t="s">
        <v>67</v>
      </c>
      <c r="L368" s="16">
        <v>4215.37</v>
      </c>
      <c r="M368" s="11">
        <v>4215.37</v>
      </c>
      <c r="N368" s="2" t="s">
        <v>14</v>
      </c>
      <c r="O368" s="7">
        <v>0</v>
      </c>
      <c r="P368" s="7"/>
      <c r="Q368" s="7"/>
      <c r="R368" s="7"/>
      <c r="S368" s="7"/>
      <c r="T368" s="7"/>
      <c r="U368" s="7"/>
      <c r="V368" s="7"/>
      <c r="W368" s="7"/>
      <c r="X368" s="7"/>
      <c r="Y368" s="7"/>
      <c r="Z368" s="7"/>
      <c r="AA368" s="7">
        <v>4215.37</v>
      </c>
      <c r="AB368" s="7"/>
      <c r="AC368" s="7"/>
      <c r="AD368" s="7"/>
      <c r="AE368" s="7"/>
      <c r="AF368" s="7"/>
      <c r="AG368" s="7"/>
      <c r="AH368" s="7"/>
      <c r="AI368" s="7"/>
      <c r="AJ368" s="7"/>
      <c r="AK368" s="7"/>
      <c r="AL368" s="7"/>
      <c r="AM368" s="7"/>
      <c r="AN368" s="7"/>
      <c r="AO368" s="7"/>
      <c r="AP368" s="7"/>
      <c r="AQ368" s="7"/>
      <c r="AR368" s="7"/>
      <c r="AS368" s="7"/>
      <c r="AT368" s="7"/>
      <c r="AU368" s="7"/>
      <c r="AV368" s="7"/>
      <c r="AW368" s="7"/>
      <c r="AX368" s="7"/>
      <c r="AY368" s="7"/>
      <c r="AZ368" s="7"/>
      <c r="BA368" s="7"/>
      <c r="BB368" s="7"/>
      <c r="BC368" s="7"/>
      <c r="BD368" s="7"/>
      <c r="BE368" s="7"/>
      <c r="BF368" s="7"/>
      <c r="BG368" s="7"/>
      <c r="BH368" s="7"/>
      <c r="BI368" s="7"/>
      <c r="BJ368" s="7"/>
      <c r="BK368" s="7"/>
      <c r="BL368" s="7"/>
      <c r="BM368" s="7"/>
      <c r="BN368" s="7"/>
      <c r="BO368" s="7"/>
      <c r="BP368" s="7"/>
      <c r="BQ368" s="7"/>
      <c r="BR368" s="7"/>
      <c r="BS368" s="7"/>
      <c r="BT368" s="7"/>
      <c r="BU368" s="7"/>
      <c r="BV368" s="7"/>
      <c r="BW368" s="8"/>
      <c r="BX368" s="8">
        <v>46309</v>
      </c>
      <c r="BY368" s="2"/>
      <c r="BZ368" s="2"/>
      <c r="CA368" s="14">
        <f t="shared" si="42"/>
        <v>4215.37</v>
      </c>
      <c r="CB368" s="2" t="str">
        <f t="shared" si="43"/>
        <v>OK</v>
      </c>
      <c r="CC368" s="13">
        <f t="shared" si="44"/>
        <v>0</v>
      </c>
    </row>
    <row r="369" spans="1:81" s="9" customFormat="1" ht="69.75" hidden="1" customHeight="1" x14ac:dyDescent="0.25">
      <c r="A369" s="2" t="s">
        <v>1363</v>
      </c>
      <c r="B369" s="2" t="s">
        <v>330</v>
      </c>
      <c r="C369" s="2" t="s">
        <v>331</v>
      </c>
      <c r="D369" s="12" t="s">
        <v>332</v>
      </c>
      <c r="E369" s="2" t="s">
        <v>333</v>
      </c>
      <c r="F369" s="2" t="s">
        <v>334</v>
      </c>
      <c r="G369" s="2" t="s">
        <v>2031</v>
      </c>
      <c r="H369" s="2" t="s">
        <v>294</v>
      </c>
      <c r="I369" s="2" t="s">
        <v>335</v>
      </c>
      <c r="J369" s="23">
        <v>163992</v>
      </c>
      <c r="K369" s="2" t="s">
        <v>67</v>
      </c>
      <c r="L369" s="16">
        <v>7865080.5999999996</v>
      </c>
      <c r="M369" s="11">
        <v>7865080.5999999996</v>
      </c>
      <c r="N369" s="2" t="s">
        <v>32</v>
      </c>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c r="AT369" s="7"/>
      <c r="AU369" s="7"/>
      <c r="AV369" s="7"/>
      <c r="AW369" s="7"/>
      <c r="AX369" s="7"/>
      <c r="AY369" s="7"/>
      <c r="AZ369" s="7"/>
      <c r="BA369" s="7"/>
      <c r="BB369" s="7"/>
      <c r="BC369" s="7"/>
      <c r="BD369" s="7"/>
      <c r="BE369" s="7"/>
      <c r="BF369" s="7"/>
      <c r="BG369" s="7"/>
      <c r="BH369" s="7"/>
      <c r="BI369" s="7"/>
      <c r="BJ369" s="7"/>
      <c r="BK369" s="7"/>
      <c r="BL369" s="7">
        <v>7865080.5999999996</v>
      </c>
      <c r="BM369" s="7"/>
      <c r="BN369" s="7"/>
      <c r="BO369" s="7"/>
      <c r="BP369" s="7"/>
      <c r="BQ369" s="7"/>
      <c r="BR369" s="7"/>
      <c r="BS369" s="7"/>
      <c r="BT369" s="7"/>
      <c r="BU369" s="7"/>
      <c r="BV369" s="7"/>
      <c r="BW369" s="8"/>
      <c r="BX369" s="8">
        <v>45658</v>
      </c>
      <c r="BY369" s="2"/>
      <c r="BZ369" s="8"/>
      <c r="CA369" s="14">
        <f t="shared" si="42"/>
        <v>7865080.5999999996</v>
      </c>
      <c r="CB369" s="2" t="str">
        <f t="shared" si="43"/>
        <v>OK</v>
      </c>
      <c r="CC369" s="13">
        <f t="shared" si="44"/>
        <v>0</v>
      </c>
    </row>
    <row r="370" spans="1:81" s="9" customFormat="1" ht="110.1" hidden="1" customHeight="1" x14ac:dyDescent="0.25">
      <c r="A370" s="2" t="s">
        <v>1567</v>
      </c>
      <c r="B370" s="2" t="s">
        <v>1058</v>
      </c>
      <c r="C370" s="2" t="s">
        <v>1051</v>
      </c>
      <c r="D370" s="12" t="s">
        <v>1059</v>
      </c>
      <c r="E370" s="1" t="s">
        <v>1765</v>
      </c>
      <c r="F370" s="2" t="s">
        <v>72</v>
      </c>
      <c r="G370" s="2" t="s">
        <v>2031</v>
      </c>
      <c r="H370" s="2" t="s">
        <v>294</v>
      </c>
      <c r="I370" s="2" t="s">
        <v>1618</v>
      </c>
      <c r="J370" s="2" t="s">
        <v>1618</v>
      </c>
      <c r="K370" s="2" t="s">
        <v>67</v>
      </c>
      <c r="L370" s="16">
        <v>3275415.93</v>
      </c>
      <c r="M370" s="22">
        <v>3275415.93</v>
      </c>
      <c r="N370" s="2" t="s">
        <v>33</v>
      </c>
      <c r="O370" s="7">
        <v>0</v>
      </c>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c r="AT370" s="7"/>
      <c r="AU370" s="7"/>
      <c r="AV370" s="7"/>
      <c r="AW370" s="7"/>
      <c r="AX370" s="7"/>
      <c r="AY370" s="7"/>
      <c r="AZ370" s="7"/>
      <c r="BA370" s="7"/>
      <c r="BB370" s="7"/>
      <c r="BC370" s="7"/>
      <c r="BD370" s="7"/>
      <c r="BE370" s="7"/>
      <c r="BF370" s="7"/>
      <c r="BG370" s="7"/>
      <c r="BH370" s="7"/>
      <c r="BI370" s="7"/>
      <c r="BJ370" s="7"/>
      <c r="BK370" s="7"/>
      <c r="BL370" s="7"/>
      <c r="BM370" s="7">
        <v>3275415.93</v>
      </c>
      <c r="BN370" s="7"/>
      <c r="BO370" s="7"/>
      <c r="BP370" s="7"/>
      <c r="BQ370" s="7"/>
      <c r="BR370" s="7"/>
      <c r="BS370" s="7"/>
      <c r="BT370" s="7"/>
      <c r="BU370" s="7"/>
      <c r="BV370" s="7"/>
      <c r="BW370" s="8"/>
      <c r="BX370" s="33">
        <v>45789</v>
      </c>
      <c r="BY370" s="2"/>
      <c r="BZ370" s="2"/>
      <c r="CA370" s="14">
        <f t="shared" si="42"/>
        <v>3275415.93</v>
      </c>
      <c r="CB370" s="2" t="str">
        <f t="shared" si="43"/>
        <v>OK</v>
      </c>
      <c r="CC370" s="13">
        <f t="shared" si="44"/>
        <v>0</v>
      </c>
    </row>
    <row r="371" spans="1:81" s="9" customFormat="1" ht="110.1" hidden="1" customHeight="1" x14ac:dyDescent="0.25">
      <c r="A371" s="2" t="s">
        <v>1565</v>
      </c>
      <c r="B371" s="2" t="s">
        <v>1053</v>
      </c>
      <c r="C371" s="2" t="s">
        <v>1051</v>
      </c>
      <c r="D371" s="12" t="s">
        <v>1054</v>
      </c>
      <c r="E371" s="2" t="s">
        <v>1055</v>
      </c>
      <c r="F371" s="2" t="s">
        <v>334</v>
      </c>
      <c r="G371" s="2" t="s">
        <v>2031</v>
      </c>
      <c r="H371" s="2" t="s">
        <v>294</v>
      </c>
      <c r="I371" s="2" t="s">
        <v>1618</v>
      </c>
      <c r="J371" s="2" t="s">
        <v>1618</v>
      </c>
      <c r="K371" s="2" t="s">
        <v>67</v>
      </c>
      <c r="L371" s="16">
        <v>8347940.6100000003</v>
      </c>
      <c r="M371" s="22">
        <v>8347940.6100000003</v>
      </c>
      <c r="N371" s="2" t="s">
        <v>33</v>
      </c>
      <c r="O371" s="7">
        <v>0</v>
      </c>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c r="AV371" s="7"/>
      <c r="AW371" s="7"/>
      <c r="AX371" s="7"/>
      <c r="AY371" s="7"/>
      <c r="AZ371" s="7"/>
      <c r="BA371" s="7"/>
      <c r="BB371" s="7"/>
      <c r="BC371" s="7"/>
      <c r="BD371" s="7"/>
      <c r="BE371" s="7"/>
      <c r="BF371" s="7"/>
      <c r="BG371" s="7"/>
      <c r="BH371" s="7"/>
      <c r="BI371" s="7"/>
      <c r="BJ371" s="7"/>
      <c r="BK371" s="7"/>
      <c r="BL371" s="7"/>
      <c r="BM371" s="7">
        <v>8347940.6100000003</v>
      </c>
      <c r="BN371" s="7"/>
      <c r="BO371" s="7"/>
      <c r="BP371" s="7"/>
      <c r="BQ371" s="7"/>
      <c r="BR371" s="7"/>
      <c r="BS371" s="7"/>
      <c r="BT371" s="7"/>
      <c r="BU371" s="7"/>
      <c r="BV371" s="7"/>
      <c r="BW371" s="8"/>
      <c r="BX371" s="8">
        <v>45828</v>
      </c>
      <c r="BY371" s="2"/>
      <c r="BZ371" s="2"/>
      <c r="CA371" s="14">
        <f t="shared" si="42"/>
        <v>8347940.6100000003</v>
      </c>
      <c r="CB371" s="2" t="str">
        <f t="shared" si="43"/>
        <v>OK</v>
      </c>
      <c r="CC371" s="13">
        <f t="shared" si="44"/>
        <v>0</v>
      </c>
    </row>
    <row r="372" spans="1:81" s="9" customFormat="1" ht="77.25" hidden="1" customHeight="1" x14ac:dyDescent="0.25">
      <c r="A372" s="2" t="s">
        <v>1577</v>
      </c>
      <c r="B372" s="2" t="s">
        <v>1078</v>
      </c>
      <c r="C372" s="2" t="s">
        <v>1051</v>
      </c>
      <c r="D372" s="12" t="s">
        <v>1079</v>
      </c>
      <c r="E372" s="2" t="s">
        <v>1080</v>
      </c>
      <c r="F372" s="2" t="s">
        <v>65</v>
      </c>
      <c r="G372" s="2" t="s">
        <v>2031</v>
      </c>
      <c r="H372" s="2" t="s">
        <v>294</v>
      </c>
      <c r="I372" s="2" t="s">
        <v>686</v>
      </c>
      <c r="J372" s="2">
        <v>1</v>
      </c>
      <c r="K372" s="2" t="s">
        <v>67</v>
      </c>
      <c r="L372" s="16">
        <v>1100</v>
      </c>
      <c r="M372" s="22">
        <v>1200</v>
      </c>
      <c r="N372" s="2" t="s">
        <v>33</v>
      </c>
      <c r="O372" s="7">
        <v>0</v>
      </c>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c r="AT372" s="7"/>
      <c r="AU372" s="7"/>
      <c r="AV372" s="7"/>
      <c r="AW372" s="7"/>
      <c r="AX372" s="7"/>
      <c r="AY372" s="7"/>
      <c r="AZ372" s="7"/>
      <c r="BA372" s="7"/>
      <c r="BB372" s="7"/>
      <c r="BC372" s="7"/>
      <c r="BD372" s="7"/>
      <c r="BE372" s="7"/>
      <c r="BF372" s="7"/>
      <c r="BG372" s="7"/>
      <c r="BH372" s="7"/>
      <c r="BI372" s="7"/>
      <c r="BJ372" s="7"/>
      <c r="BK372" s="7"/>
      <c r="BL372" s="7"/>
      <c r="BM372" s="7">
        <v>1200</v>
      </c>
      <c r="BN372" s="7"/>
      <c r="BO372" s="7"/>
      <c r="BP372" s="7"/>
      <c r="BQ372" s="7"/>
      <c r="BR372" s="7"/>
      <c r="BS372" s="7"/>
      <c r="BT372" s="7"/>
      <c r="BU372" s="7"/>
      <c r="BV372" s="7"/>
      <c r="BW372" s="8"/>
      <c r="BX372" s="8">
        <v>45849</v>
      </c>
      <c r="BY372" s="2"/>
      <c r="BZ372" s="2"/>
      <c r="CA372" s="14">
        <f t="shared" si="42"/>
        <v>1200</v>
      </c>
      <c r="CB372" s="2" t="str">
        <f t="shared" si="43"/>
        <v>OK</v>
      </c>
      <c r="CC372" s="13">
        <f t="shared" si="44"/>
        <v>0</v>
      </c>
    </row>
    <row r="373" spans="1:81" s="9" customFormat="1" ht="120" hidden="1" customHeight="1" x14ac:dyDescent="0.25">
      <c r="A373" s="2" t="s">
        <v>1592</v>
      </c>
      <c r="B373" s="2" t="s">
        <v>1113</v>
      </c>
      <c r="C373" s="2" t="s">
        <v>1114</v>
      </c>
      <c r="D373" s="12" t="s">
        <v>1735</v>
      </c>
      <c r="E373" s="2" t="s">
        <v>1736</v>
      </c>
      <c r="F373" s="2" t="s">
        <v>72</v>
      </c>
      <c r="G373" s="2" t="s">
        <v>2031</v>
      </c>
      <c r="H373" s="2" t="s">
        <v>294</v>
      </c>
      <c r="I373" s="15"/>
      <c r="J373" s="15"/>
      <c r="K373" s="2" t="s">
        <v>67</v>
      </c>
      <c r="L373" s="16">
        <v>8522162.1199999992</v>
      </c>
      <c r="M373" s="11">
        <v>8522162.1199999992</v>
      </c>
      <c r="N373" s="2" t="s">
        <v>1115</v>
      </c>
      <c r="O373" s="7">
        <v>0</v>
      </c>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c r="AT373" s="7"/>
      <c r="AU373" s="7"/>
      <c r="AV373" s="7"/>
      <c r="AW373" s="7"/>
      <c r="AX373" s="7"/>
      <c r="AY373" s="7"/>
      <c r="AZ373" s="7"/>
      <c r="BA373" s="7"/>
      <c r="BB373" s="7"/>
      <c r="BC373" s="7"/>
      <c r="BD373" s="7"/>
      <c r="BE373" s="7"/>
      <c r="BF373" s="7"/>
      <c r="BG373" s="7"/>
      <c r="BH373" s="7"/>
      <c r="BI373" s="7"/>
      <c r="BJ373" s="7"/>
      <c r="BK373" s="7"/>
      <c r="BL373" s="7"/>
      <c r="BM373" s="7">
        <v>8522162.1199999992</v>
      </c>
      <c r="BN373" s="7"/>
      <c r="BO373" s="7"/>
      <c r="BP373" s="7"/>
      <c r="BQ373" s="7"/>
      <c r="BR373" s="7"/>
      <c r="BS373" s="7"/>
      <c r="BT373" s="7"/>
      <c r="BU373" s="7"/>
      <c r="BV373" s="7"/>
      <c r="BW373" s="2"/>
      <c r="BX373" s="8">
        <v>45856</v>
      </c>
      <c r="BY373" s="8"/>
      <c r="BZ373" s="2"/>
      <c r="CA373" s="14">
        <f t="shared" si="42"/>
        <v>8522162.1199999992</v>
      </c>
      <c r="CB373" s="2" t="str">
        <f t="shared" si="43"/>
        <v>OK</v>
      </c>
      <c r="CC373" s="13">
        <f t="shared" si="44"/>
        <v>0</v>
      </c>
    </row>
    <row r="374" spans="1:81" s="9" customFormat="1" ht="92.25" hidden="1" customHeight="1" x14ac:dyDescent="0.25">
      <c r="A374" s="2" t="s">
        <v>1579</v>
      </c>
      <c r="B374" s="2" t="s">
        <v>1085</v>
      </c>
      <c r="C374" s="2" t="s">
        <v>1051</v>
      </c>
      <c r="D374" s="12" t="s">
        <v>1086</v>
      </c>
      <c r="E374" s="2" t="s">
        <v>1087</v>
      </c>
      <c r="F374" s="2" t="s">
        <v>72</v>
      </c>
      <c r="G374" s="2" t="s">
        <v>2031</v>
      </c>
      <c r="H374" s="2" t="s">
        <v>294</v>
      </c>
      <c r="I374" s="2" t="s">
        <v>686</v>
      </c>
      <c r="J374" s="2">
        <v>2000</v>
      </c>
      <c r="K374" s="2" t="s">
        <v>67</v>
      </c>
      <c r="L374" s="16">
        <v>351712.83</v>
      </c>
      <c r="M374" s="22">
        <v>351712.83</v>
      </c>
      <c r="N374" s="2" t="s">
        <v>33</v>
      </c>
      <c r="O374" s="7">
        <v>0</v>
      </c>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c r="BB374" s="7"/>
      <c r="BC374" s="7"/>
      <c r="BD374" s="7"/>
      <c r="BE374" s="7"/>
      <c r="BF374" s="7"/>
      <c r="BG374" s="7"/>
      <c r="BH374" s="7"/>
      <c r="BI374" s="7"/>
      <c r="BJ374" s="7"/>
      <c r="BK374" s="7"/>
      <c r="BL374" s="7"/>
      <c r="BM374" s="7">
        <v>351712.83</v>
      </c>
      <c r="BN374" s="7"/>
      <c r="BO374" s="7"/>
      <c r="BP374" s="7"/>
      <c r="BQ374" s="7"/>
      <c r="BR374" s="7"/>
      <c r="BS374" s="7"/>
      <c r="BT374" s="7"/>
      <c r="BU374" s="7"/>
      <c r="BV374" s="7"/>
      <c r="BW374" s="8"/>
      <c r="BX374" s="8">
        <v>45885</v>
      </c>
      <c r="BY374" s="2"/>
      <c r="BZ374" s="8"/>
      <c r="CA374" s="14">
        <f t="shared" si="42"/>
        <v>351712.83</v>
      </c>
      <c r="CB374" s="2" t="str">
        <f t="shared" si="43"/>
        <v>OK</v>
      </c>
      <c r="CC374" s="13">
        <f t="shared" si="44"/>
        <v>0</v>
      </c>
    </row>
    <row r="375" spans="1:81" s="9" customFormat="1" ht="76.5" hidden="1" customHeight="1" x14ac:dyDescent="0.25">
      <c r="A375" s="2" t="s">
        <v>1578</v>
      </c>
      <c r="B375" s="2" t="s">
        <v>1081</v>
      </c>
      <c r="C375" s="2" t="s">
        <v>1051</v>
      </c>
      <c r="D375" s="12" t="s">
        <v>1082</v>
      </c>
      <c r="E375" s="2" t="s">
        <v>1083</v>
      </c>
      <c r="F375" s="2" t="s">
        <v>334</v>
      </c>
      <c r="G375" s="2" t="s">
        <v>2031</v>
      </c>
      <c r="H375" s="2" t="s">
        <v>294</v>
      </c>
      <c r="I375" s="2" t="s">
        <v>1084</v>
      </c>
      <c r="J375" s="23">
        <v>60000</v>
      </c>
      <c r="K375" s="2" t="s">
        <v>67</v>
      </c>
      <c r="L375" s="16">
        <v>16488000</v>
      </c>
      <c r="M375" s="22">
        <v>5496000</v>
      </c>
      <c r="N375" s="2" t="s">
        <v>33</v>
      </c>
      <c r="O375" s="7">
        <v>0</v>
      </c>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c r="BA375" s="7"/>
      <c r="BB375" s="7"/>
      <c r="BC375" s="7"/>
      <c r="BD375" s="7"/>
      <c r="BE375" s="7"/>
      <c r="BF375" s="7"/>
      <c r="BG375" s="7"/>
      <c r="BH375" s="7"/>
      <c r="BI375" s="7"/>
      <c r="BJ375" s="7"/>
      <c r="BK375" s="7"/>
      <c r="BL375" s="7"/>
      <c r="BM375" s="7">
        <v>5496000</v>
      </c>
      <c r="BN375" s="7"/>
      <c r="BO375" s="7"/>
      <c r="BP375" s="7"/>
      <c r="BQ375" s="7"/>
      <c r="BR375" s="7"/>
      <c r="BS375" s="7"/>
      <c r="BT375" s="7"/>
      <c r="BU375" s="7"/>
      <c r="BV375" s="7"/>
      <c r="BW375" s="8"/>
      <c r="BX375" s="8">
        <v>45954</v>
      </c>
      <c r="BY375" s="2"/>
      <c r="BZ375" s="2"/>
      <c r="CA375" s="14">
        <f t="shared" si="42"/>
        <v>5496000</v>
      </c>
      <c r="CB375" s="2" t="str">
        <f t="shared" si="43"/>
        <v>OK</v>
      </c>
      <c r="CC375" s="13">
        <f t="shared" si="44"/>
        <v>0</v>
      </c>
    </row>
    <row r="376" spans="1:81" s="9" customFormat="1" ht="127.5" hidden="1" customHeight="1" x14ac:dyDescent="0.25">
      <c r="A376" s="2" t="s">
        <v>1584</v>
      </c>
      <c r="B376" s="2" t="s">
        <v>1096</v>
      </c>
      <c r="C376" s="2" t="s">
        <v>1051</v>
      </c>
      <c r="D376" s="12" t="s">
        <v>1097</v>
      </c>
      <c r="E376" s="2" t="s">
        <v>1098</v>
      </c>
      <c r="F376" s="2" t="s">
        <v>65</v>
      </c>
      <c r="G376" s="2" t="s">
        <v>2031</v>
      </c>
      <c r="H376" s="2" t="s">
        <v>294</v>
      </c>
      <c r="I376" s="2" t="s">
        <v>1618</v>
      </c>
      <c r="J376" s="2" t="s">
        <v>1618</v>
      </c>
      <c r="K376" s="2" t="s">
        <v>67</v>
      </c>
      <c r="L376" s="16">
        <v>7204514.04</v>
      </c>
      <c r="M376" s="22">
        <v>10351454.15</v>
      </c>
      <c r="N376" s="2" t="s">
        <v>33</v>
      </c>
      <c r="O376" s="7">
        <v>0</v>
      </c>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c r="AZ376" s="7"/>
      <c r="BA376" s="7"/>
      <c r="BB376" s="7"/>
      <c r="BC376" s="7"/>
      <c r="BD376" s="7"/>
      <c r="BE376" s="7"/>
      <c r="BF376" s="7"/>
      <c r="BG376" s="7"/>
      <c r="BH376" s="7"/>
      <c r="BI376" s="7"/>
      <c r="BJ376" s="7"/>
      <c r="BK376" s="7"/>
      <c r="BL376" s="7"/>
      <c r="BM376" s="7">
        <v>10351454.15</v>
      </c>
      <c r="BN376" s="7"/>
      <c r="BO376" s="7"/>
      <c r="BP376" s="7"/>
      <c r="BQ376" s="7"/>
      <c r="BR376" s="7"/>
      <c r="BS376" s="7"/>
      <c r="BT376" s="7"/>
      <c r="BU376" s="7"/>
      <c r="BV376" s="7"/>
      <c r="BW376" s="8"/>
      <c r="BX376" s="8">
        <v>46012</v>
      </c>
      <c r="BY376" s="2"/>
      <c r="BZ376" s="8"/>
      <c r="CA376" s="14">
        <f t="shared" si="42"/>
        <v>10351454.15</v>
      </c>
      <c r="CB376" s="2" t="str">
        <f t="shared" si="43"/>
        <v>OK</v>
      </c>
      <c r="CC376" s="13">
        <f t="shared" si="44"/>
        <v>0</v>
      </c>
    </row>
    <row r="377" spans="1:81" s="9" customFormat="1" ht="102" hidden="1" customHeight="1" x14ac:dyDescent="0.25">
      <c r="A377" s="2" t="s">
        <v>1237</v>
      </c>
      <c r="B377" s="2" t="s">
        <v>347</v>
      </c>
      <c r="C377" s="2" t="s">
        <v>342</v>
      </c>
      <c r="D377" s="12" t="s">
        <v>346</v>
      </c>
      <c r="E377" s="2" t="s">
        <v>1702</v>
      </c>
      <c r="F377" s="2" t="s">
        <v>72</v>
      </c>
      <c r="G377" s="2" t="s">
        <v>2034</v>
      </c>
      <c r="H377" s="2" t="s">
        <v>294</v>
      </c>
      <c r="I377" s="2" t="s">
        <v>686</v>
      </c>
      <c r="J377" s="2" t="s">
        <v>1618</v>
      </c>
      <c r="K377" s="2" t="s">
        <v>67</v>
      </c>
      <c r="L377" s="16">
        <v>5488067.1600000001</v>
      </c>
      <c r="M377" s="11">
        <v>2744033.58</v>
      </c>
      <c r="N377" s="2" t="s">
        <v>344</v>
      </c>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v>2494575.98</v>
      </c>
      <c r="AO377" s="7">
        <v>249457.6</v>
      </c>
      <c r="AP377" s="7"/>
      <c r="AQ377" s="7"/>
      <c r="AR377" s="7"/>
      <c r="AS377" s="7"/>
      <c r="AT377" s="7"/>
      <c r="AU377" s="7"/>
      <c r="AV377" s="7"/>
      <c r="AW377" s="7"/>
      <c r="AX377" s="7"/>
      <c r="AY377" s="7"/>
      <c r="AZ377" s="7"/>
      <c r="BA377" s="7"/>
      <c r="BB377" s="7"/>
      <c r="BC377" s="7"/>
      <c r="BD377" s="7"/>
      <c r="BE377" s="7"/>
      <c r="BF377" s="7"/>
      <c r="BG377" s="7"/>
      <c r="BH377" s="7"/>
      <c r="BI377" s="7"/>
      <c r="BJ377" s="7"/>
      <c r="BK377" s="7"/>
      <c r="BL377" s="7"/>
      <c r="BM377" s="7"/>
      <c r="BN377" s="7"/>
      <c r="BO377" s="7"/>
      <c r="BP377" s="7"/>
      <c r="BQ377" s="7"/>
      <c r="BR377" s="7"/>
      <c r="BS377" s="7"/>
      <c r="BT377" s="7"/>
      <c r="BU377" s="7"/>
      <c r="BV377" s="7"/>
      <c r="BW377" s="8"/>
      <c r="BX377" s="8">
        <v>45691</v>
      </c>
      <c r="BY377" s="2"/>
      <c r="BZ377" s="8"/>
      <c r="CA377" s="14">
        <f t="shared" si="42"/>
        <v>2744033.58</v>
      </c>
      <c r="CB377" s="2" t="str">
        <f t="shared" si="43"/>
        <v>OK</v>
      </c>
      <c r="CC377" s="13">
        <f t="shared" si="44"/>
        <v>0</v>
      </c>
    </row>
    <row r="378" spans="1:81" s="9" customFormat="1" ht="110.1" hidden="1" customHeight="1" x14ac:dyDescent="0.25">
      <c r="A378" s="2" t="s">
        <v>1238</v>
      </c>
      <c r="B378" s="2" t="s">
        <v>375</v>
      </c>
      <c r="C378" s="2" t="s">
        <v>342</v>
      </c>
      <c r="D378" s="12" t="s">
        <v>355</v>
      </c>
      <c r="E378" s="2" t="s">
        <v>1704</v>
      </c>
      <c r="F378" s="2" t="s">
        <v>72</v>
      </c>
      <c r="G378" s="2" t="s">
        <v>2034</v>
      </c>
      <c r="H378" s="2" t="s">
        <v>294</v>
      </c>
      <c r="I378" s="2" t="s">
        <v>686</v>
      </c>
      <c r="J378" s="2" t="s">
        <v>1618</v>
      </c>
      <c r="K378" s="2" t="s">
        <v>67</v>
      </c>
      <c r="L378" s="16">
        <v>1604323.07</v>
      </c>
      <c r="M378" s="11">
        <v>1604323.07</v>
      </c>
      <c r="N378" s="2" t="s">
        <v>344</v>
      </c>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v>1458475.54</v>
      </c>
      <c r="AO378" s="7">
        <v>145847.53</v>
      </c>
      <c r="AP378" s="7"/>
      <c r="AQ378" s="7"/>
      <c r="AR378" s="7"/>
      <c r="AS378" s="7"/>
      <c r="AT378" s="7"/>
      <c r="AU378" s="7"/>
      <c r="AV378" s="7"/>
      <c r="AW378" s="7"/>
      <c r="AX378" s="7"/>
      <c r="AY378" s="7"/>
      <c r="AZ378" s="7"/>
      <c r="BA378" s="7"/>
      <c r="BB378" s="7"/>
      <c r="BC378" s="7"/>
      <c r="BD378" s="7"/>
      <c r="BE378" s="7"/>
      <c r="BF378" s="7"/>
      <c r="BG378" s="7"/>
      <c r="BH378" s="7"/>
      <c r="BI378" s="7"/>
      <c r="BJ378" s="7"/>
      <c r="BK378" s="7"/>
      <c r="BL378" s="7"/>
      <c r="BM378" s="7"/>
      <c r="BN378" s="7"/>
      <c r="BO378" s="7"/>
      <c r="BP378" s="7"/>
      <c r="BQ378" s="7"/>
      <c r="BR378" s="7"/>
      <c r="BS378" s="7"/>
      <c r="BT378" s="7"/>
      <c r="BU378" s="7"/>
      <c r="BV378" s="7"/>
      <c r="BW378" s="8"/>
      <c r="BX378" s="8">
        <v>45691</v>
      </c>
      <c r="BY378" s="2"/>
      <c r="BZ378" s="2"/>
      <c r="CA378" s="14">
        <f t="shared" si="42"/>
        <v>1604323.07</v>
      </c>
      <c r="CB378" s="2" t="str">
        <f t="shared" si="43"/>
        <v>OK</v>
      </c>
      <c r="CC378" s="13">
        <f t="shared" si="44"/>
        <v>0</v>
      </c>
    </row>
    <row r="379" spans="1:81" s="9" customFormat="1" ht="110.1" hidden="1" customHeight="1" x14ac:dyDescent="0.25">
      <c r="A379" s="2" t="s">
        <v>1239</v>
      </c>
      <c r="B379" s="2" t="s">
        <v>373</v>
      </c>
      <c r="C379" s="2" t="s">
        <v>342</v>
      </c>
      <c r="D379" s="12" t="s">
        <v>374</v>
      </c>
      <c r="E379" s="2" t="s">
        <v>1727</v>
      </c>
      <c r="F379" s="2" t="s">
        <v>72</v>
      </c>
      <c r="G379" s="2" t="s">
        <v>2034</v>
      </c>
      <c r="H379" s="2" t="s">
        <v>294</v>
      </c>
      <c r="I379" s="2" t="s">
        <v>686</v>
      </c>
      <c r="J379" s="2" t="s">
        <v>1618</v>
      </c>
      <c r="K379" s="2" t="s">
        <v>67</v>
      </c>
      <c r="L379" s="16">
        <v>1301889.47</v>
      </c>
      <c r="M379" s="11">
        <v>1301889.47</v>
      </c>
      <c r="N379" s="2" t="s">
        <v>344</v>
      </c>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v>1183535.8799999999</v>
      </c>
      <c r="AO379" s="7">
        <v>118353.59</v>
      </c>
      <c r="AP379" s="7"/>
      <c r="AQ379" s="7"/>
      <c r="AR379" s="7"/>
      <c r="AS379" s="7"/>
      <c r="AT379" s="7"/>
      <c r="AU379" s="7"/>
      <c r="AV379" s="7"/>
      <c r="AW379" s="7"/>
      <c r="AX379" s="7"/>
      <c r="AY379" s="7"/>
      <c r="AZ379" s="7"/>
      <c r="BA379" s="7"/>
      <c r="BB379" s="7"/>
      <c r="BC379" s="7"/>
      <c r="BD379" s="7"/>
      <c r="BE379" s="7"/>
      <c r="BF379" s="7"/>
      <c r="BG379" s="7"/>
      <c r="BH379" s="7"/>
      <c r="BI379" s="7"/>
      <c r="BJ379" s="7"/>
      <c r="BK379" s="7"/>
      <c r="BL379" s="7"/>
      <c r="BM379" s="7"/>
      <c r="BN379" s="7"/>
      <c r="BO379" s="7"/>
      <c r="BP379" s="7"/>
      <c r="BQ379" s="7"/>
      <c r="BR379" s="7"/>
      <c r="BS379" s="7"/>
      <c r="BT379" s="7"/>
      <c r="BU379" s="7"/>
      <c r="BV379" s="7"/>
      <c r="BW379" s="8"/>
      <c r="BX379" s="8">
        <v>45691</v>
      </c>
      <c r="BY379" s="2"/>
      <c r="BZ379" s="2"/>
      <c r="CA379" s="14">
        <f t="shared" si="42"/>
        <v>1301889.47</v>
      </c>
      <c r="CB379" s="2" t="str">
        <f t="shared" si="43"/>
        <v>OK</v>
      </c>
      <c r="CC379" s="13">
        <f t="shared" si="44"/>
        <v>0</v>
      </c>
    </row>
    <row r="380" spans="1:81" s="9" customFormat="1" ht="120" hidden="1" customHeight="1" x14ac:dyDescent="0.25">
      <c r="A380" s="2" t="s">
        <v>1240</v>
      </c>
      <c r="B380" s="2" t="s">
        <v>495</v>
      </c>
      <c r="C380" s="2" t="s">
        <v>342</v>
      </c>
      <c r="D380" s="12" t="s">
        <v>355</v>
      </c>
      <c r="E380" s="2" t="s">
        <v>1730</v>
      </c>
      <c r="F380" s="2" t="s">
        <v>72</v>
      </c>
      <c r="G380" s="2" t="s">
        <v>2034</v>
      </c>
      <c r="H380" s="2" t="s">
        <v>294</v>
      </c>
      <c r="I380" s="2" t="s">
        <v>686</v>
      </c>
      <c r="J380" s="2" t="s">
        <v>1618</v>
      </c>
      <c r="K380" s="2" t="s">
        <v>67</v>
      </c>
      <c r="L380" s="16">
        <v>1117057.8400000001</v>
      </c>
      <c r="M380" s="11">
        <v>1117057.8400000001</v>
      </c>
      <c r="N380" s="2" t="s">
        <v>344</v>
      </c>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v>101550.71</v>
      </c>
      <c r="AO380" s="7">
        <v>1015507.13</v>
      </c>
      <c r="AP380" s="7"/>
      <c r="AQ380" s="7"/>
      <c r="AR380" s="7"/>
      <c r="AS380" s="7"/>
      <c r="AT380" s="7"/>
      <c r="AU380" s="7"/>
      <c r="AV380" s="7"/>
      <c r="AW380" s="7"/>
      <c r="AX380" s="7"/>
      <c r="AY380" s="7"/>
      <c r="AZ380" s="7"/>
      <c r="BA380" s="7"/>
      <c r="BB380" s="7"/>
      <c r="BC380" s="7"/>
      <c r="BD380" s="7"/>
      <c r="BE380" s="7"/>
      <c r="BF380" s="7"/>
      <c r="BG380" s="7"/>
      <c r="BH380" s="7"/>
      <c r="BI380" s="7"/>
      <c r="BJ380" s="7"/>
      <c r="BK380" s="7"/>
      <c r="BL380" s="7"/>
      <c r="BM380" s="7"/>
      <c r="BN380" s="7"/>
      <c r="BO380" s="7"/>
      <c r="BP380" s="7"/>
      <c r="BQ380" s="7"/>
      <c r="BR380" s="7"/>
      <c r="BS380" s="7"/>
      <c r="BT380" s="7"/>
      <c r="BU380" s="7"/>
      <c r="BV380" s="7"/>
      <c r="BW380" s="8"/>
      <c r="BX380" s="8">
        <v>45691</v>
      </c>
      <c r="BY380" s="2"/>
      <c r="BZ380" s="8" t="s">
        <v>1780</v>
      </c>
      <c r="CA380" s="14">
        <f t="shared" si="42"/>
        <v>1117057.8400000001</v>
      </c>
      <c r="CB380" s="2" t="str">
        <f t="shared" si="43"/>
        <v>OK</v>
      </c>
      <c r="CC380" s="13">
        <f t="shared" si="44"/>
        <v>0</v>
      </c>
    </row>
    <row r="381" spans="1:81" s="9" customFormat="1" ht="96" hidden="1" customHeight="1" x14ac:dyDescent="0.25">
      <c r="A381" s="2" t="s">
        <v>1241</v>
      </c>
      <c r="B381" s="2" t="s">
        <v>372</v>
      </c>
      <c r="C381" s="2" t="s">
        <v>342</v>
      </c>
      <c r="D381" s="12" t="s">
        <v>362</v>
      </c>
      <c r="E381" s="2" t="s">
        <v>1726</v>
      </c>
      <c r="F381" s="2" t="s">
        <v>72</v>
      </c>
      <c r="G381" s="2" t="s">
        <v>2034</v>
      </c>
      <c r="H381" s="2" t="s">
        <v>294</v>
      </c>
      <c r="I381" s="2" t="s">
        <v>686</v>
      </c>
      <c r="J381" s="2" t="s">
        <v>1618</v>
      </c>
      <c r="K381" s="2" t="s">
        <v>67</v>
      </c>
      <c r="L381" s="16">
        <v>1011451.53</v>
      </c>
      <c r="M381" s="11">
        <v>1011451.53</v>
      </c>
      <c r="N381" s="2" t="s">
        <v>344</v>
      </c>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v>919501.39</v>
      </c>
      <c r="AO381" s="7">
        <v>91950.14</v>
      </c>
      <c r="AP381" s="7"/>
      <c r="AQ381" s="7"/>
      <c r="AR381" s="7"/>
      <c r="AS381" s="7"/>
      <c r="AT381" s="7"/>
      <c r="AU381" s="7"/>
      <c r="AV381" s="7"/>
      <c r="AW381" s="7"/>
      <c r="AX381" s="7"/>
      <c r="AY381" s="7"/>
      <c r="AZ381" s="7"/>
      <c r="BA381" s="7"/>
      <c r="BB381" s="7"/>
      <c r="BC381" s="7"/>
      <c r="BD381" s="7"/>
      <c r="BE381" s="7"/>
      <c r="BF381" s="7"/>
      <c r="BG381" s="7"/>
      <c r="BH381" s="7"/>
      <c r="BI381" s="7"/>
      <c r="BJ381" s="7"/>
      <c r="BK381" s="7"/>
      <c r="BL381" s="7"/>
      <c r="BM381" s="7"/>
      <c r="BN381" s="7"/>
      <c r="BO381" s="7"/>
      <c r="BP381" s="7"/>
      <c r="BQ381" s="7"/>
      <c r="BR381" s="7"/>
      <c r="BS381" s="7"/>
      <c r="BT381" s="7"/>
      <c r="BU381" s="7"/>
      <c r="BV381" s="7"/>
      <c r="BW381" s="8"/>
      <c r="BX381" s="8">
        <v>45691</v>
      </c>
      <c r="BY381" s="2"/>
      <c r="BZ381" s="8"/>
      <c r="CA381" s="14">
        <f t="shared" si="42"/>
        <v>1011451.53</v>
      </c>
      <c r="CB381" s="2" t="str">
        <f t="shared" si="43"/>
        <v>OK</v>
      </c>
      <c r="CC381" s="13">
        <f t="shared" si="44"/>
        <v>0</v>
      </c>
    </row>
    <row r="382" spans="1:81" s="9" customFormat="1" ht="87.75" hidden="1" customHeight="1" x14ac:dyDescent="0.25">
      <c r="A382" s="2" t="s">
        <v>1242</v>
      </c>
      <c r="B382" s="2" t="s">
        <v>609</v>
      </c>
      <c r="C382" s="2" t="s">
        <v>342</v>
      </c>
      <c r="D382" s="12" t="s">
        <v>605</v>
      </c>
      <c r="E382" s="2" t="s">
        <v>1713</v>
      </c>
      <c r="F382" s="2" t="s">
        <v>65</v>
      </c>
      <c r="G382" s="2" t="s">
        <v>2034</v>
      </c>
      <c r="H382" s="2" t="s">
        <v>294</v>
      </c>
      <c r="I382" s="2" t="s">
        <v>319</v>
      </c>
      <c r="J382" s="23">
        <v>1157</v>
      </c>
      <c r="K382" s="2" t="s">
        <v>67</v>
      </c>
      <c r="L382" s="16">
        <v>1263444</v>
      </c>
      <c r="M382" s="11">
        <v>986458.2</v>
      </c>
      <c r="N382" s="2" t="s">
        <v>344</v>
      </c>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v>89678.02</v>
      </c>
      <c r="AO382" s="7">
        <v>896780.18</v>
      </c>
      <c r="AP382" s="7"/>
      <c r="AQ382" s="7"/>
      <c r="AR382" s="7"/>
      <c r="AS382" s="7"/>
      <c r="AT382" s="7"/>
      <c r="AU382" s="7"/>
      <c r="AV382" s="7"/>
      <c r="AW382" s="7"/>
      <c r="AX382" s="7"/>
      <c r="AY382" s="7"/>
      <c r="AZ382" s="7"/>
      <c r="BA382" s="7"/>
      <c r="BB382" s="7"/>
      <c r="BC382" s="7"/>
      <c r="BD382" s="7"/>
      <c r="BE382" s="7"/>
      <c r="BF382" s="7"/>
      <c r="BG382" s="7"/>
      <c r="BH382" s="7"/>
      <c r="BI382" s="7"/>
      <c r="BJ382" s="7"/>
      <c r="BK382" s="7"/>
      <c r="BL382" s="7"/>
      <c r="BM382" s="7"/>
      <c r="BN382" s="7"/>
      <c r="BO382" s="7"/>
      <c r="BP382" s="7"/>
      <c r="BQ382" s="7"/>
      <c r="BR382" s="7"/>
      <c r="BS382" s="7"/>
      <c r="BT382" s="7"/>
      <c r="BU382" s="7"/>
      <c r="BV382" s="7"/>
      <c r="BW382" s="8"/>
      <c r="BX382" s="8">
        <v>45691</v>
      </c>
      <c r="BY382" s="2"/>
      <c r="BZ382" s="8"/>
      <c r="CA382" s="14">
        <f t="shared" si="42"/>
        <v>986458.20000000007</v>
      </c>
      <c r="CB382" s="2" t="str">
        <f t="shared" si="43"/>
        <v>OK</v>
      </c>
      <c r="CC382" s="13">
        <f t="shared" si="44"/>
        <v>0</v>
      </c>
    </row>
    <row r="383" spans="1:81" s="9" customFormat="1" ht="110.1" hidden="1" customHeight="1" x14ac:dyDescent="0.25">
      <c r="A383" s="2" t="s">
        <v>1243</v>
      </c>
      <c r="B383" s="2" t="s">
        <v>370</v>
      </c>
      <c r="C383" s="2" t="s">
        <v>342</v>
      </c>
      <c r="D383" s="12" t="s">
        <v>362</v>
      </c>
      <c r="E383" s="2" t="s">
        <v>1724</v>
      </c>
      <c r="F383" s="2" t="s">
        <v>72</v>
      </c>
      <c r="G383" s="2" t="s">
        <v>2034</v>
      </c>
      <c r="H383" s="2" t="s">
        <v>294</v>
      </c>
      <c r="I383" s="2" t="s">
        <v>686</v>
      </c>
      <c r="J383" s="2" t="s">
        <v>1618</v>
      </c>
      <c r="K383" s="2" t="s">
        <v>67</v>
      </c>
      <c r="L383" s="16">
        <v>1666842.98</v>
      </c>
      <c r="M383" s="11">
        <v>955844.98</v>
      </c>
      <c r="N383" s="2" t="s">
        <v>344</v>
      </c>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v>868949.98</v>
      </c>
      <c r="AO383" s="7">
        <v>86895</v>
      </c>
      <c r="AP383" s="7"/>
      <c r="AQ383" s="7"/>
      <c r="AR383" s="7"/>
      <c r="AS383" s="7"/>
      <c r="AT383" s="7"/>
      <c r="AU383" s="7"/>
      <c r="AV383" s="7"/>
      <c r="AW383" s="7"/>
      <c r="AX383" s="7"/>
      <c r="AY383" s="7"/>
      <c r="AZ383" s="7"/>
      <c r="BA383" s="7"/>
      <c r="BB383" s="7"/>
      <c r="BC383" s="7"/>
      <c r="BD383" s="7"/>
      <c r="BE383" s="7"/>
      <c r="BF383" s="7"/>
      <c r="BG383" s="7"/>
      <c r="BH383" s="7"/>
      <c r="BI383" s="7"/>
      <c r="BJ383" s="7"/>
      <c r="BK383" s="7"/>
      <c r="BL383" s="7"/>
      <c r="BM383" s="7"/>
      <c r="BN383" s="7"/>
      <c r="BO383" s="7"/>
      <c r="BP383" s="7"/>
      <c r="BQ383" s="7"/>
      <c r="BR383" s="7"/>
      <c r="BS383" s="7"/>
      <c r="BT383" s="7"/>
      <c r="BU383" s="7"/>
      <c r="BV383" s="7"/>
      <c r="BW383" s="8"/>
      <c r="BX383" s="8">
        <v>45691</v>
      </c>
      <c r="BY383" s="2"/>
      <c r="BZ383" s="8"/>
      <c r="CA383" s="14">
        <f t="shared" ref="CA383:CA402" si="45">SUM(O383:BV383)</f>
        <v>955844.98</v>
      </c>
      <c r="CB383" s="2" t="str">
        <f t="shared" ref="CB383:CB402" si="46">IF(M383=CA383,"OK","CORRIGIR")</f>
        <v>OK</v>
      </c>
      <c r="CC383" s="13">
        <f t="shared" ref="CC383:CC402" si="47">M383-CA383</f>
        <v>0</v>
      </c>
    </row>
    <row r="384" spans="1:81" s="9" customFormat="1" ht="110.1" hidden="1" customHeight="1" x14ac:dyDescent="0.25">
      <c r="A384" s="2" t="s">
        <v>1246</v>
      </c>
      <c r="B384" s="2" t="s">
        <v>376</v>
      </c>
      <c r="C384" s="2" t="s">
        <v>342</v>
      </c>
      <c r="D384" s="12" t="s">
        <v>374</v>
      </c>
      <c r="E384" s="2" t="s">
        <v>1728</v>
      </c>
      <c r="F384" s="2" t="s">
        <v>72</v>
      </c>
      <c r="G384" s="2" t="s">
        <v>2034</v>
      </c>
      <c r="H384" s="2" t="s">
        <v>294</v>
      </c>
      <c r="I384" s="2" t="s">
        <v>686</v>
      </c>
      <c r="J384" s="2" t="s">
        <v>1618</v>
      </c>
      <c r="K384" s="2" t="s">
        <v>67</v>
      </c>
      <c r="L384" s="16">
        <v>857532.49</v>
      </c>
      <c r="M384" s="11">
        <v>857532.49</v>
      </c>
      <c r="N384" s="2" t="s">
        <v>344</v>
      </c>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v>779574.99</v>
      </c>
      <c r="AO384" s="7">
        <v>77957.5</v>
      </c>
      <c r="AP384" s="7"/>
      <c r="AQ384" s="7"/>
      <c r="AR384" s="7"/>
      <c r="AS384" s="7"/>
      <c r="AT384" s="7"/>
      <c r="AU384" s="7"/>
      <c r="AV384" s="7"/>
      <c r="AW384" s="7"/>
      <c r="AX384" s="7"/>
      <c r="AY384" s="7"/>
      <c r="AZ384" s="7"/>
      <c r="BA384" s="7"/>
      <c r="BB384" s="7"/>
      <c r="BC384" s="7"/>
      <c r="BD384" s="7"/>
      <c r="BE384" s="7"/>
      <c r="BF384" s="7"/>
      <c r="BG384" s="7"/>
      <c r="BH384" s="7"/>
      <c r="BI384" s="7"/>
      <c r="BJ384" s="7"/>
      <c r="BK384" s="7"/>
      <c r="BL384" s="7"/>
      <c r="BM384" s="7"/>
      <c r="BN384" s="7"/>
      <c r="BO384" s="7"/>
      <c r="BP384" s="7"/>
      <c r="BQ384" s="7"/>
      <c r="BR384" s="7"/>
      <c r="BS384" s="7"/>
      <c r="BT384" s="7"/>
      <c r="BU384" s="7"/>
      <c r="BV384" s="7"/>
      <c r="BW384" s="8"/>
      <c r="BX384" s="8">
        <v>45691</v>
      </c>
      <c r="BY384" s="2"/>
      <c r="BZ384" s="8"/>
      <c r="CA384" s="14">
        <f t="shared" si="45"/>
        <v>857532.49</v>
      </c>
      <c r="CB384" s="2" t="str">
        <f t="shared" si="46"/>
        <v>OK</v>
      </c>
      <c r="CC384" s="13">
        <f t="shared" si="47"/>
        <v>0</v>
      </c>
    </row>
    <row r="385" spans="1:81" s="9" customFormat="1" ht="110.1" hidden="1" customHeight="1" x14ac:dyDescent="0.25">
      <c r="A385" s="2" t="s">
        <v>1247</v>
      </c>
      <c r="B385" s="2" t="s">
        <v>356</v>
      </c>
      <c r="C385" s="2" t="s">
        <v>342</v>
      </c>
      <c r="D385" s="12" t="s">
        <v>353</v>
      </c>
      <c r="E385" s="2" t="s">
        <v>1708</v>
      </c>
      <c r="F385" s="2" t="s">
        <v>72</v>
      </c>
      <c r="G385" s="2" t="s">
        <v>2034</v>
      </c>
      <c r="H385" s="2" t="s">
        <v>294</v>
      </c>
      <c r="I385" s="2" t="s">
        <v>686</v>
      </c>
      <c r="J385" s="2" t="s">
        <v>1618</v>
      </c>
      <c r="K385" s="2" t="s">
        <v>67</v>
      </c>
      <c r="L385" s="16">
        <v>794576.53</v>
      </c>
      <c r="M385" s="11">
        <v>794576.53</v>
      </c>
      <c r="N385" s="2" t="s">
        <v>344</v>
      </c>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v>72234.23</v>
      </c>
      <c r="AO385" s="7">
        <v>722342.3</v>
      </c>
      <c r="AP385" s="7"/>
      <c r="AQ385" s="7"/>
      <c r="AR385" s="7"/>
      <c r="AS385" s="7"/>
      <c r="AT385" s="7"/>
      <c r="AU385" s="7"/>
      <c r="AV385" s="7"/>
      <c r="AW385" s="7"/>
      <c r="AX385" s="7"/>
      <c r="AY385" s="7"/>
      <c r="AZ385" s="7"/>
      <c r="BA385" s="7"/>
      <c r="BB385" s="7"/>
      <c r="BC385" s="7"/>
      <c r="BD385" s="7"/>
      <c r="BE385" s="7"/>
      <c r="BF385" s="7"/>
      <c r="BG385" s="7"/>
      <c r="BH385" s="7"/>
      <c r="BI385" s="7"/>
      <c r="BJ385" s="7"/>
      <c r="BK385" s="7"/>
      <c r="BL385" s="7"/>
      <c r="BM385" s="7"/>
      <c r="BN385" s="7"/>
      <c r="BO385" s="7"/>
      <c r="BP385" s="7"/>
      <c r="BQ385" s="7"/>
      <c r="BR385" s="7"/>
      <c r="BS385" s="7"/>
      <c r="BT385" s="7"/>
      <c r="BU385" s="7"/>
      <c r="BV385" s="7"/>
      <c r="BW385" s="8"/>
      <c r="BX385" s="8">
        <v>45691</v>
      </c>
      <c r="BY385" s="2"/>
      <c r="BZ385" s="8"/>
      <c r="CA385" s="14">
        <f t="shared" si="45"/>
        <v>794576.53</v>
      </c>
      <c r="CB385" s="2" t="str">
        <f t="shared" si="46"/>
        <v>OK</v>
      </c>
      <c r="CC385" s="13">
        <f t="shared" si="47"/>
        <v>0</v>
      </c>
    </row>
    <row r="386" spans="1:81" s="9" customFormat="1" ht="110.1" hidden="1" customHeight="1" x14ac:dyDescent="0.25">
      <c r="A386" s="2" t="s">
        <v>1248</v>
      </c>
      <c r="B386" s="2" t="s">
        <v>606</v>
      </c>
      <c r="C386" s="2" t="s">
        <v>342</v>
      </c>
      <c r="D386" s="12" t="s">
        <v>607</v>
      </c>
      <c r="E386" s="2" t="s">
        <v>1712</v>
      </c>
      <c r="F386" s="2" t="s">
        <v>65</v>
      </c>
      <c r="G386" s="2" t="s">
        <v>2034</v>
      </c>
      <c r="H386" s="2" t="s">
        <v>294</v>
      </c>
      <c r="I386" s="2" t="s">
        <v>608</v>
      </c>
      <c r="J386" s="2">
        <v>810</v>
      </c>
      <c r="K386" s="2" t="s">
        <v>67</v>
      </c>
      <c r="L386" s="16">
        <v>626940</v>
      </c>
      <c r="M386" s="11">
        <v>626940</v>
      </c>
      <c r="N386" s="2" t="s">
        <v>344</v>
      </c>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v>569945.44999999995</v>
      </c>
      <c r="AO386" s="7">
        <v>56994.55</v>
      </c>
      <c r="AP386" s="7"/>
      <c r="AQ386" s="7"/>
      <c r="AR386" s="7"/>
      <c r="AS386" s="7"/>
      <c r="AT386" s="7"/>
      <c r="AU386" s="7"/>
      <c r="AV386" s="7"/>
      <c r="AW386" s="7"/>
      <c r="AX386" s="7"/>
      <c r="AY386" s="7"/>
      <c r="AZ386" s="7"/>
      <c r="BA386" s="7"/>
      <c r="BB386" s="7"/>
      <c r="BC386" s="7"/>
      <c r="BD386" s="7"/>
      <c r="BE386" s="7"/>
      <c r="BF386" s="7"/>
      <c r="BG386" s="7"/>
      <c r="BH386" s="7"/>
      <c r="BI386" s="7"/>
      <c r="BJ386" s="7"/>
      <c r="BK386" s="7"/>
      <c r="BL386" s="7"/>
      <c r="BM386" s="7"/>
      <c r="BN386" s="7"/>
      <c r="BO386" s="7"/>
      <c r="BP386" s="7"/>
      <c r="BQ386" s="7"/>
      <c r="BR386" s="7"/>
      <c r="BS386" s="7"/>
      <c r="BT386" s="7"/>
      <c r="BU386" s="7"/>
      <c r="BV386" s="7"/>
      <c r="BW386" s="8"/>
      <c r="BX386" s="8">
        <v>45691</v>
      </c>
      <c r="BY386" s="2"/>
      <c r="BZ386" s="8"/>
      <c r="CA386" s="14">
        <f t="shared" si="45"/>
        <v>626940</v>
      </c>
      <c r="CB386" s="2" t="str">
        <f t="shared" si="46"/>
        <v>OK</v>
      </c>
      <c r="CC386" s="13">
        <f t="shared" si="47"/>
        <v>0</v>
      </c>
    </row>
    <row r="387" spans="1:81" s="9" customFormat="1" ht="110.1" hidden="1" customHeight="1" x14ac:dyDescent="0.25">
      <c r="A387" s="2" t="s">
        <v>1249</v>
      </c>
      <c r="B387" s="2" t="s">
        <v>352</v>
      </c>
      <c r="C387" s="2" t="s">
        <v>342</v>
      </c>
      <c r="D387" s="12" t="s">
        <v>353</v>
      </c>
      <c r="E387" s="2" t="s">
        <v>1706</v>
      </c>
      <c r="F387" s="2" t="s">
        <v>72</v>
      </c>
      <c r="G387" s="2" t="s">
        <v>2034</v>
      </c>
      <c r="H387" s="2" t="s">
        <v>294</v>
      </c>
      <c r="I387" s="2" t="s">
        <v>686</v>
      </c>
      <c r="J387" s="2" t="s">
        <v>1618</v>
      </c>
      <c r="K387" s="2" t="s">
        <v>67</v>
      </c>
      <c r="L387" s="16">
        <v>621645.15</v>
      </c>
      <c r="M387" s="11">
        <v>621645.15</v>
      </c>
      <c r="N387" s="2" t="s">
        <v>344</v>
      </c>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v>56513.2</v>
      </c>
      <c r="AO387" s="7">
        <v>565131.94999999995</v>
      </c>
      <c r="AP387" s="7"/>
      <c r="AQ387" s="7"/>
      <c r="AR387" s="7"/>
      <c r="AS387" s="7"/>
      <c r="AT387" s="7"/>
      <c r="AU387" s="7"/>
      <c r="AV387" s="7"/>
      <c r="AW387" s="7"/>
      <c r="AX387" s="7"/>
      <c r="AY387" s="7"/>
      <c r="AZ387" s="7"/>
      <c r="BA387" s="7"/>
      <c r="BB387" s="7"/>
      <c r="BC387" s="7"/>
      <c r="BD387" s="7"/>
      <c r="BE387" s="7"/>
      <c r="BF387" s="7"/>
      <c r="BG387" s="7"/>
      <c r="BH387" s="7"/>
      <c r="BI387" s="7"/>
      <c r="BJ387" s="7"/>
      <c r="BK387" s="7"/>
      <c r="BL387" s="7"/>
      <c r="BM387" s="7"/>
      <c r="BN387" s="7"/>
      <c r="BO387" s="7"/>
      <c r="BP387" s="7"/>
      <c r="BQ387" s="7"/>
      <c r="BR387" s="7"/>
      <c r="BS387" s="7"/>
      <c r="BT387" s="7"/>
      <c r="BU387" s="7"/>
      <c r="BV387" s="7"/>
      <c r="BW387" s="8"/>
      <c r="BX387" s="8">
        <v>45691</v>
      </c>
      <c r="BY387" s="2"/>
      <c r="BZ387" s="8"/>
      <c r="CA387" s="14">
        <f t="shared" si="45"/>
        <v>621645.14999999991</v>
      </c>
      <c r="CB387" s="2" t="str">
        <f t="shared" si="46"/>
        <v>OK</v>
      </c>
      <c r="CC387" s="13">
        <f t="shared" si="47"/>
        <v>0</v>
      </c>
    </row>
    <row r="388" spans="1:81" s="9" customFormat="1" ht="95.25" hidden="1" customHeight="1" x14ac:dyDescent="0.25">
      <c r="A388" s="2" t="s">
        <v>1250</v>
      </c>
      <c r="B388" s="2" t="s">
        <v>361</v>
      </c>
      <c r="C388" s="2" t="s">
        <v>342</v>
      </c>
      <c r="D388" s="12" t="s">
        <v>362</v>
      </c>
      <c r="E388" s="2" t="s">
        <v>1720</v>
      </c>
      <c r="F388" s="2" t="s">
        <v>72</v>
      </c>
      <c r="G388" s="2" t="s">
        <v>2034</v>
      </c>
      <c r="H388" s="2" t="s">
        <v>294</v>
      </c>
      <c r="I388" s="2" t="s">
        <v>686</v>
      </c>
      <c r="J388" s="2" t="s">
        <v>1618</v>
      </c>
      <c r="K388" s="2" t="s">
        <v>67</v>
      </c>
      <c r="L388" s="16">
        <v>1143105.75</v>
      </c>
      <c r="M388" s="11">
        <v>618801.24</v>
      </c>
      <c r="N388" s="2" t="s">
        <v>344</v>
      </c>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v>562546.57999999996</v>
      </c>
      <c r="AO388" s="7">
        <v>56254.66</v>
      </c>
      <c r="AP388" s="7"/>
      <c r="AQ388" s="7"/>
      <c r="AR388" s="7"/>
      <c r="AS388" s="7"/>
      <c r="AT388" s="7"/>
      <c r="AU388" s="7"/>
      <c r="AV388" s="7"/>
      <c r="AW388" s="7"/>
      <c r="AX388" s="7"/>
      <c r="AY388" s="7"/>
      <c r="AZ388" s="7"/>
      <c r="BA388" s="7"/>
      <c r="BB388" s="7"/>
      <c r="BC388" s="7"/>
      <c r="BD388" s="7"/>
      <c r="BE388" s="7"/>
      <c r="BF388" s="7"/>
      <c r="BG388" s="7"/>
      <c r="BH388" s="7"/>
      <c r="BI388" s="7"/>
      <c r="BJ388" s="7"/>
      <c r="BK388" s="7"/>
      <c r="BL388" s="7"/>
      <c r="BM388" s="7"/>
      <c r="BN388" s="7"/>
      <c r="BO388" s="7"/>
      <c r="BP388" s="7"/>
      <c r="BQ388" s="7"/>
      <c r="BR388" s="7"/>
      <c r="BS388" s="7"/>
      <c r="BT388" s="7"/>
      <c r="BU388" s="7"/>
      <c r="BV388" s="7"/>
      <c r="BW388" s="8"/>
      <c r="BX388" s="8">
        <v>45691</v>
      </c>
      <c r="BY388" s="2"/>
      <c r="BZ388" s="8"/>
      <c r="CA388" s="14">
        <f t="shared" si="45"/>
        <v>618801.24</v>
      </c>
      <c r="CB388" s="2" t="str">
        <f t="shared" si="46"/>
        <v>OK</v>
      </c>
      <c r="CC388" s="13">
        <f t="shared" si="47"/>
        <v>0</v>
      </c>
    </row>
    <row r="389" spans="1:81" s="9" customFormat="1" ht="110.1" hidden="1" customHeight="1" x14ac:dyDescent="0.25">
      <c r="A389" s="2" t="s">
        <v>1251</v>
      </c>
      <c r="B389" s="2" t="s">
        <v>358</v>
      </c>
      <c r="C389" s="2" t="s">
        <v>342</v>
      </c>
      <c r="D389" s="12" t="s">
        <v>353</v>
      </c>
      <c r="E389" s="2" t="s">
        <v>1709</v>
      </c>
      <c r="F389" s="2" t="s">
        <v>72</v>
      </c>
      <c r="G389" s="2" t="s">
        <v>2034</v>
      </c>
      <c r="H389" s="2" t="s">
        <v>294</v>
      </c>
      <c r="I389" s="2" t="s">
        <v>686</v>
      </c>
      <c r="J389" s="2" t="s">
        <v>1618</v>
      </c>
      <c r="K389" s="2" t="s">
        <v>67</v>
      </c>
      <c r="L389" s="16">
        <v>537506.36</v>
      </c>
      <c r="M389" s="11">
        <v>537506.36</v>
      </c>
      <c r="N389" s="2" t="s">
        <v>344</v>
      </c>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v>488642.15</v>
      </c>
      <c r="AO389" s="7">
        <v>48864.21</v>
      </c>
      <c r="AP389" s="7"/>
      <c r="AQ389" s="7"/>
      <c r="AR389" s="7"/>
      <c r="AS389" s="7"/>
      <c r="AT389" s="7"/>
      <c r="AU389" s="7"/>
      <c r="AV389" s="7"/>
      <c r="AW389" s="7"/>
      <c r="AX389" s="7"/>
      <c r="AY389" s="7"/>
      <c r="AZ389" s="7"/>
      <c r="BA389" s="7"/>
      <c r="BB389" s="7"/>
      <c r="BC389" s="7"/>
      <c r="BD389" s="7"/>
      <c r="BE389" s="7"/>
      <c r="BF389" s="7"/>
      <c r="BG389" s="7"/>
      <c r="BH389" s="7"/>
      <c r="BI389" s="7"/>
      <c r="BJ389" s="7"/>
      <c r="BK389" s="7"/>
      <c r="BL389" s="7"/>
      <c r="BM389" s="7"/>
      <c r="BN389" s="7"/>
      <c r="BO389" s="7"/>
      <c r="BP389" s="7"/>
      <c r="BQ389" s="7"/>
      <c r="BR389" s="7"/>
      <c r="BS389" s="7"/>
      <c r="BT389" s="7"/>
      <c r="BU389" s="7"/>
      <c r="BV389" s="7"/>
      <c r="BW389" s="8"/>
      <c r="BX389" s="8">
        <v>45691</v>
      </c>
      <c r="BY389" s="2"/>
      <c r="BZ389" s="2"/>
      <c r="CA389" s="14">
        <f t="shared" si="45"/>
        <v>537506.36</v>
      </c>
      <c r="CB389" s="2" t="str">
        <f t="shared" si="46"/>
        <v>OK</v>
      </c>
      <c r="CC389" s="13">
        <f t="shared" si="47"/>
        <v>0</v>
      </c>
    </row>
    <row r="390" spans="1:81" s="9" customFormat="1" ht="110.1" hidden="1" customHeight="1" x14ac:dyDescent="0.25">
      <c r="A390" s="2" t="s">
        <v>1252</v>
      </c>
      <c r="B390" s="2" t="s">
        <v>354</v>
      </c>
      <c r="C390" s="2" t="s">
        <v>342</v>
      </c>
      <c r="D390" s="12" t="s">
        <v>355</v>
      </c>
      <c r="E390" s="2" t="s">
        <v>1717</v>
      </c>
      <c r="F390" s="2" t="s">
        <v>72</v>
      </c>
      <c r="G390" s="2" t="s">
        <v>2034</v>
      </c>
      <c r="H390" s="2" t="s">
        <v>294</v>
      </c>
      <c r="I390" s="2" t="s">
        <v>686</v>
      </c>
      <c r="J390" s="2" t="s">
        <v>1618</v>
      </c>
      <c r="K390" s="2" t="s">
        <v>67</v>
      </c>
      <c r="L390" s="16">
        <v>531256.22</v>
      </c>
      <c r="M390" s="11">
        <v>531256.22</v>
      </c>
      <c r="N390" s="2" t="s">
        <v>344</v>
      </c>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v>482960.2</v>
      </c>
      <c r="AO390" s="7">
        <v>48296.02</v>
      </c>
      <c r="AP390" s="7"/>
      <c r="AQ390" s="7"/>
      <c r="AR390" s="7"/>
      <c r="AS390" s="7"/>
      <c r="AT390" s="7"/>
      <c r="AU390" s="7"/>
      <c r="AV390" s="7"/>
      <c r="AW390" s="7"/>
      <c r="AX390" s="7"/>
      <c r="AY390" s="7"/>
      <c r="AZ390" s="7"/>
      <c r="BA390" s="7"/>
      <c r="BB390" s="7"/>
      <c r="BC390" s="7"/>
      <c r="BD390" s="7"/>
      <c r="BE390" s="7"/>
      <c r="BF390" s="7"/>
      <c r="BG390" s="7"/>
      <c r="BH390" s="7"/>
      <c r="BI390" s="7"/>
      <c r="BJ390" s="7"/>
      <c r="BK390" s="7"/>
      <c r="BL390" s="7"/>
      <c r="BM390" s="7"/>
      <c r="BN390" s="7"/>
      <c r="BO390" s="7"/>
      <c r="BP390" s="7"/>
      <c r="BQ390" s="7"/>
      <c r="BR390" s="7"/>
      <c r="BS390" s="7"/>
      <c r="BT390" s="7"/>
      <c r="BU390" s="7"/>
      <c r="BV390" s="7"/>
      <c r="BW390" s="8"/>
      <c r="BX390" s="8">
        <v>45691</v>
      </c>
      <c r="BY390" s="2"/>
      <c r="BZ390" s="2"/>
      <c r="CA390" s="14">
        <f t="shared" si="45"/>
        <v>531256.22</v>
      </c>
      <c r="CB390" s="2" t="str">
        <f t="shared" si="46"/>
        <v>OK</v>
      </c>
      <c r="CC390" s="13">
        <f t="shared" si="47"/>
        <v>0</v>
      </c>
    </row>
    <row r="391" spans="1:81" s="9" customFormat="1" ht="120" hidden="1" customHeight="1" x14ac:dyDescent="0.25">
      <c r="A391" s="2" t="s">
        <v>1253</v>
      </c>
      <c r="B391" s="2" t="s">
        <v>368</v>
      </c>
      <c r="C391" s="2" t="s">
        <v>342</v>
      </c>
      <c r="D391" s="12" t="s">
        <v>362</v>
      </c>
      <c r="E391" s="2" t="s">
        <v>1722</v>
      </c>
      <c r="F391" s="2" t="s">
        <v>72</v>
      </c>
      <c r="G391" s="2" t="s">
        <v>2034</v>
      </c>
      <c r="H391" s="2" t="s">
        <v>294</v>
      </c>
      <c r="I391" s="2" t="s">
        <v>686</v>
      </c>
      <c r="J391" s="2" t="s">
        <v>1618</v>
      </c>
      <c r="K391" s="2" t="s">
        <v>67</v>
      </c>
      <c r="L391" s="16">
        <v>912868.06</v>
      </c>
      <c r="M391" s="11">
        <v>470335.57</v>
      </c>
      <c r="N391" s="2" t="s">
        <v>344</v>
      </c>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v>42757.78</v>
      </c>
      <c r="AO391" s="7">
        <v>427577.79</v>
      </c>
      <c r="AP391" s="7"/>
      <c r="AQ391" s="7"/>
      <c r="AR391" s="7"/>
      <c r="AS391" s="7"/>
      <c r="AT391" s="7"/>
      <c r="AU391" s="7"/>
      <c r="AV391" s="7"/>
      <c r="AW391" s="7"/>
      <c r="AX391" s="7"/>
      <c r="AY391" s="7"/>
      <c r="AZ391" s="7"/>
      <c r="BA391" s="7"/>
      <c r="BB391" s="7"/>
      <c r="BC391" s="7"/>
      <c r="BD391" s="7"/>
      <c r="BE391" s="7"/>
      <c r="BF391" s="7"/>
      <c r="BG391" s="7"/>
      <c r="BH391" s="7"/>
      <c r="BI391" s="7"/>
      <c r="BJ391" s="7"/>
      <c r="BK391" s="7"/>
      <c r="BL391" s="7"/>
      <c r="BM391" s="7"/>
      <c r="BN391" s="7"/>
      <c r="BO391" s="7"/>
      <c r="BP391" s="7"/>
      <c r="BQ391" s="7"/>
      <c r="BR391" s="7"/>
      <c r="BS391" s="7"/>
      <c r="BT391" s="7"/>
      <c r="BU391" s="7"/>
      <c r="BV391" s="7"/>
      <c r="BW391" s="8"/>
      <c r="BX391" s="8">
        <v>45691</v>
      </c>
      <c r="BY391" s="2"/>
      <c r="BZ391" s="8"/>
      <c r="CA391" s="14">
        <f t="shared" si="45"/>
        <v>470335.56999999995</v>
      </c>
      <c r="CB391" s="2" t="str">
        <f t="shared" si="46"/>
        <v>OK</v>
      </c>
      <c r="CC391" s="13">
        <f t="shared" si="47"/>
        <v>0</v>
      </c>
    </row>
    <row r="392" spans="1:81" s="9" customFormat="1" ht="90.75" hidden="1" customHeight="1" x14ac:dyDescent="0.25">
      <c r="A392" s="2" t="s">
        <v>1254</v>
      </c>
      <c r="B392" s="2" t="s">
        <v>341</v>
      </c>
      <c r="C392" s="2" t="s">
        <v>342</v>
      </c>
      <c r="D392" s="12" t="s">
        <v>343</v>
      </c>
      <c r="E392" s="2" t="s">
        <v>1715</v>
      </c>
      <c r="F392" s="2" t="s">
        <v>72</v>
      </c>
      <c r="G392" s="2" t="s">
        <v>2034</v>
      </c>
      <c r="H392" s="2" t="s">
        <v>294</v>
      </c>
      <c r="I392" s="2" t="s">
        <v>686</v>
      </c>
      <c r="J392" s="2" t="s">
        <v>1618</v>
      </c>
      <c r="K392" s="2" t="s">
        <v>67</v>
      </c>
      <c r="L392" s="16">
        <v>342683.28</v>
      </c>
      <c r="M392" s="11">
        <v>342683.28</v>
      </c>
      <c r="N392" s="2" t="s">
        <v>344</v>
      </c>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v>31153.03</v>
      </c>
      <c r="AO392" s="7">
        <v>311530.25</v>
      </c>
      <c r="AP392" s="7"/>
      <c r="AQ392" s="7"/>
      <c r="AR392" s="7"/>
      <c r="AS392" s="7"/>
      <c r="AT392" s="7"/>
      <c r="AU392" s="7"/>
      <c r="AV392" s="7"/>
      <c r="AW392" s="7"/>
      <c r="AX392" s="7"/>
      <c r="AY392" s="7"/>
      <c r="AZ392" s="7"/>
      <c r="BA392" s="7"/>
      <c r="BB392" s="7"/>
      <c r="BC392" s="7"/>
      <c r="BD392" s="7"/>
      <c r="BE392" s="7"/>
      <c r="BF392" s="7"/>
      <c r="BG392" s="7"/>
      <c r="BH392" s="7"/>
      <c r="BI392" s="7"/>
      <c r="BJ392" s="7"/>
      <c r="BK392" s="7"/>
      <c r="BL392" s="7"/>
      <c r="BM392" s="7"/>
      <c r="BN392" s="7"/>
      <c r="BO392" s="7"/>
      <c r="BP392" s="7"/>
      <c r="BQ392" s="7"/>
      <c r="BR392" s="7"/>
      <c r="BS392" s="7"/>
      <c r="BT392" s="7"/>
      <c r="BU392" s="7"/>
      <c r="BV392" s="7"/>
      <c r="BW392" s="8"/>
      <c r="BX392" s="8">
        <v>45691</v>
      </c>
      <c r="BY392" s="2"/>
      <c r="BZ392" s="8"/>
      <c r="CA392" s="14">
        <f t="shared" si="45"/>
        <v>342683.28</v>
      </c>
      <c r="CB392" s="2" t="str">
        <f t="shared" si="46"/>
        <v>OK</v>
      </c>
      <c r="CC392" s="13">
        <f t="shared" si="47"/>
        <v>0</v>
      </c>
    </row>
    <row r="393" spans="1:81" s="9" customFormat="1" ht="110.1" hidden="1" customHeight="1" x14ac:dyDescent="0.25">
      <c r="A393" s="2" t="s">
        <v>1258</v>
      </c>
      <c r="B393" s="2" t="s">
        <v>371</v>
      </c>
      <c r="C393" s="2" t="s">
        <v>342</v>
      </c>
      <c r="D393" s="12" t="s">
        <v>343</v>
      </c>
      <c r="E393" s="2" t="s">
        <v>1725</v>
      </c>
      <c r="F393" s="2" t="s">
        <v>72</v>
      </c>
      <c r="G393" s="2" t="s">
        <v>2034</v>
      </c>
      <c r="H393" s="2" t="s">
        <v>294</v>
      </c>
      <c r="I393" s="2" t="s">
        <v>686</v>
      </c>
      <c r="J393" s="2" t="s">
        <v>1618</v>
      </c>
      <c r="K393" s="2" t="s">
        <v>67</v>
      </c>
      <c r="L393" s="16">
        <v>296255.35999999999</v>
      </c>
      <c r="M393" s="11">
        <v>296255.35999999999</v>
      </c>
      <c r="N393" s="2" t="s">
        <v>344</v>
      </c>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v>0</v>
      </c>
      <c r="AO393" s="7">
        <v>296255.35999999999</v>
      </c>
      <c r="AP393" s="7"/>
      <c r="AQ393" s="7"/>
      <c r="AR393" s="7"/>
      <c r="AS393" s="7"/>
      <c r="AT393" s="7"/>
      <c r="AU393" s="7"/>
      <c r="AV393" s="7"/>
      <c r="AW393" s="7"/>
      <c r="AX393" s="7"/>
      <c r="AY393" s="7"/>
      <c r="AZ393" s="7"/>
      <c r="BA393" s="7"/>
      <c r="BB393" s="7"/>
      <c r="BC393" s="7"/>
      <c r="BD393" s="7"/>
      <c r="BE393" s="7"/>
      <c r="BF393" s="7"/>
      <c r="BG393" s="7"/>
      <c r="BH393" s="7"/>
      <c r="BI393" s="7"/>
      <c r="BJ393" s="7"/>
      <c r="BK393" s="7"/>
      <c r="BL393" s="7"/>
      <c r="BM393" s="7"/>
      <c r="BN393" s="7"/>
      <c r="BO393" s="7"/>
      <c r="BP393" s="7"/>
      <c r="BQ393" s="7"/>
      <c r="BR393" s="7"/>
      <c r="BS393" s="7"/>
      <c r="BT393" s="7"/>
      <c r="BU393" s="7"/>
      <c r="BV393" s="7"/>
      <c r="BW393" s="8"/>
      <c r="BX393" s="8">
        <v>45691</v>
      </c>
      <c r="BY393" s="2"/>
      <c r="BZ393" s="2"/>
      <c r="CA393" s="14">
        <f t="shared" si="45"/>
        <v>296255.35999999999</v>
      </c>
      <c r="CB393" s="2" t="str">
        <f t="shared" si="46"/>
        <v>OK</v>
      </c>
      <c r="CC393" s="13">
        <f t="shared" si="47"/>
        <v>0</v>
      </c>
    </row>
    <row r="394" spans="1:81" s="9" customFormat="1" ht="110.1" hidden="1" customHeight="1" x14ac:dyDescent="0.25">
      <c r="A394" s="2" t="s">
        <v>1302</v>
      </c>
      <c r="B394" s="2" t="s">
        <v>600</v>
      </c>
      <c r="C394" s="2" t="s">
        <v>342</v>
      </c>
      <c r="D394" s="12" t="s">
        <v>601</v>
      </c>
      <c r="E394" s="2" t="s">
        <v>1711</v>
      </c>
      <c r="F394" s="2" t="s">
        <v>65</v>
      </c>
      <c r="G394" s="2" t="s">
        <v>2034</v>
      </c>
      <c r="H394" s="2" t="s">
        <v>294</v>
      </c>
      <c r="I394" s="2" t="s">
        <v>319</v>
      </c>
      <c r="J394" s="2">
        <v>323</v>
      </c>
      <c r="K394" s="2" t="s">
        <v>67</v>
      </c>
      <c r="L394" s="16">
        <v>306527</v>
      </c>
      <c r="M394" s="11">
        <v>239326.85</v>
      </c>
      <c r="N394" s="2" t="s">
        <v>344</v>
      </c>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v>119663.43</v>
      </c>
      <c r="AO394" s="7">
        <v>119663.43</v>
      </c>
      <c r="AP394" s="7"/>
      <c r="AQ394" s="7"/>
      <c r="AR394" s="7"/>
      <c r="AS394" s="7"/>
      <c r="AT394" s="7"/>
      <c r="AU394" s="7"/>
      <c r="AV394" s="7"/>
      <c r="AW394" s="7"/>
      <c r="AX394" s="7"/>
      <c r="AY394" s="7"/>
      <c r="AZ394" s="7"/>
      <c r="BA394" s="7"/>
      <c r="BB394" s="7"/>
      <c r="BC394" s="7"/>
      <c r="BD394" s="7"/>
      <c r="BE394" s="7"/>
      <c r="BF394" s="7"/>
      <c r="BG394" s="7"/>
      <c r="BH394" s="7"/>
      <c r="BI394" s="7"/>
      <c r="BJ394" s="7"/>
      <c r="BK394" s="7"/>
      <c r="BL394" s="7"/>
      <c r="BM394" s="7"/>
      <c r="BN394" s="7"/>
      <c r="BO394" s="7"/>
      <c r="BP394" s="7"/>
      <c r="BQ394" s="7"/>
      <c r="BR394" s="7"/>
      <c r="BS394" s="7"/>
      <c r="BT394" s="7"/>
      <c r="BU394" s="7"/>
      <c r="BV394" s="7"/>
      <c r="BW394" s="8"/>
      <c r="BX394" s="8">
        <v>45691</v>
      </c>
      <c r="BY394" s="2"/>
      <c r="BZ394" s="8"/>
      <c r="CA394" s="14">
        <f t="shared" si="45"/>
        <v>239326.86</v>
      </c>
      <c r="CB394" s="2" t="str">
        <f t="shared" si="46"/>
        <v>CORRIGIR</v>
      </c>
      <c r="CC394" s="13">
        <f t="shared" si="47"/>
        <v>-9.9999999802093953E-3</v>
      </c>
    </row>
    <row r="395" spans="1:81" s="9" customFormat="1" ht="120" hidden="1" customHeight="1" x14ac:dyDescent="0.25">
      <c r="A395" s="2" t="s">
        <v>1352</v>
      </c>
      <c r="B395" s="2" t="s">
        <v>369</v>
      </c>
      <c r="C395" s="2" t="s">
        <v>342</v>
      </c>
      <c r="D395" s="12" t="s">
        <v>343</v>
      </c>
      <c r="E395" s="2" t="s">
        <v>1723</v>
      </c>
      <c r="F395" s="2" t="s">
        <v>72</v>
      </c>
      <c r="G395" s="2" t="s">
        <v>2034</v>
      </c>
      <c r="H395" s="2" t="s">
        <v>294</v>
      </c>
      <c r="I395" s="2" t="s">
        <v>686</v>
      </c>
      <c r="J395" s="2" t="s">
        <v>1618</v>
      </c>
      <c r="K395" s="2" t="s">
        <v>67</v>
      </c>
      <c r="L395" s="16">
        <v>236978.95</v>
      </c>
      <c r="M395" s="11">
        <v>236978.95</v>
      </c>
      <c r="N395" s="2" t="s">
        <v>344</v>
      </c>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v>94791.63</v>
      </c>
      <c r="AO395" s="7">
        <v>142187.32</v>
      </c>
      <c r="AP395" s="7"/>
      <c r="AQ395" s="7"/>
      <c r="AR395" s="7"/>
      <c r="AS395" s="7"/>
      <c r="AT395" s="7"/>
      <c r="AU395" s="7"/>
      <c r="AV395" s="7"/>
      <c r="AW395" s="7"/>
      <c r="AX395" s="7"/>
      <c r="AY395" s="7"/>
      <c r="AZ395" s="7"/>
      <c r="BA395" s="7"/>
      <c r="BB395" s="7"/>
      <c r="BC395" s="7"/>
      <c r="BD395" s="7"/>
      <c r="BE395" s="7"/>
      <c r="BF395" s="7"/>
      <c r="BG395" s="7"/>
      <c r="BH395" s="7"/>
      <c r="BI395" s="7"/>
      <c r="BJ395" s="7"/>
      <c r="BK395" s="7"/>
      <c r="BL395" s="7"/>
      <c r="BM395" s="7"/>
      <c r="BN395" s="7"/>
      <c r="BO395" s="7"/>
      <c r="BP395" s="7"/>
      <c r="BQ395" s="7"/>
      <c r="BR395" s="7"/>
      <c r="BS395" s="7"/>
      <c r="BT395" s="7"/>
      <c r="BU395" s="7"/>
      <c r="BV395" s="7"/>
      <c r="BW395" s="8"/>
      <c r="BX395" s="8">
        <v>45691</v>
      </c>
      <c r="BY395" s="2"/>
      <c r="BZ395" s="2"/>
      <c r="CA395" s="14">
        <f t="shared" si="45"/>
        <v>236978.95</v>
      </c>
      <c r="CB395" s="2" t="str">
        <f t="shared" si="46"/>
        <v>OK</v>
      </c>
      <c r="CC395" s="13">
        <f t="shared" si="47"/>
        <v>0</v>
      </c>
    </row>
    <row r="396" spans="1:81" s="9" customFormat="1" ht="110.1" hidden="1" customHeight="1" x14ac:dyDescent="0.25">
      <c r="A396" s="2" t="s">
        <v>1354</v>
      </c>
      <c r="B396" s="2" t="s">
        <v>357</v>
      </c>
      <c r="C396" s="2" t="s">
        <v>342</v>
      </c>
      <c r="D396" s="12" t="s">
        <v>355</v>
      </c>
      <c r="E396" s="2" t="s">
        <v>1718</v>
      </c>
      <c r="F396" s="2" t="s">
        <v>72</v>
      </c>
      <c r="G396" s="2" t="s">
        <v>2034</v>
      </c>
      <c r="H396" s="2" t="s">
        <v>294</v>
      </c>
      <c r="I396" s="2" t="s">
        <v>686</v>
      </c>
      <c r="J396" s="2" t="s">
        <v>1618</v>
      </c>
      <c r="K396" s="2" t="s">
        <v>67</v>
      </c>
      <c r="L396" s="16">
        <v>200863.82</v>
      </c>
      <c r="M396" s="11">
        <v>200863.82</v>
      </c>
      <c r="N396" s="2" t="s">
        <v>344</v>
      </c>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v>18260.349999999999</v>
      </c>
      <c r="AO396" s="7">
        <v>182603.47</v>
      </c>
      <c r="AP396" s="7"/>
      <c r="AQ396" s="7"/>
      <c r="AR396" s="7"/>
      <c r="AS396" s="7"/>
      <c r="AT396" s="7"/>
      <c r="AU396" s="7"/>
      <c r="AV396" s="7"/>
      <c r="AW396" s="7"/>
      <c r="AX396" s="7"/>
      <c r="AY396" s="7"/>
      <c r="AZ396" s="7"/>
      <c r="BA396" s="7"/>
      <c r="BB396" s="7"/>
      <c r="BC396" s="7"/>
      <c r="BD396" s="7"/>
      <c r="BE396" s="7"/>
      <c r="BF396" s="7"/>
      <c r="BG396" s="7"/>
      <c r="BH396" s="7"/>
      <c r="BI396" s="7"/>
      <c r="BJ396" s="7"/>
      <c r="BK396" s="7"/>
      <c r="BL396" s="7"/>
      <c r="BM396" s="7"/>
      <c r="BN396" s="7"/>
      <c r="BO396" s="7"/>
      <c r="BP396" s="7"/>
      <c r="BQ396" s="7"/>
      <c r="BR396" s="7"/>
      <c r="BS396" s="7"/>
      <c r="BT396" s="7"/>
      <c r="BU396" s="7"/>
      <c r="BV396" s="7"/>
      <c r="BW396" s="8"/>
      <c r="BX396" s="8">
        <v>45691</v>
      </c>
      <c r="BY396" s="2"/>
      <c r="BZ396" s="8"/>
      <c r="CA396" s="14">
        <f t="shared" si="45"/>
        <v>200863.82</v>
      </c>
      <c r="CB396" s="2" t="str">
        <f t="shared" si="46"/>
        <v>OK</v>
      </c>
      <c r="CC396" s="13">
        <f t="shared" si="47"/>
        <v>0</v>
      </c>
    </row>
    <row r="397" spans="1:81" s="9" customFormat="1" ht="101.25" hidden="1" customHeight="1" x14ac:dyDescent="0.25">
      <c r="A397" s="2" t="s">
        <v>1355</v>
      </c>
      <c r="B397" s="2" t="s">
        <v>348</v>
      </c>
      <c r="C397" s="2" t="s">
        <v>342</v>
      </c>
      <c r="D397" s="12" t="s">
        <v>343</v>
      </c>
      <c r="E397" s="2" t="s">
        <v>1716</v>
      </c>
      <c r="F397" s="2" t="s">
        <v>72</v>
      </c>
      <c r="G397" s="2" t="s">
        <v>2034</v>
      </c>
      <c r="H397" s="2" t="s">
        <v>294</v>
      </c>
      <c r="I397" s="2" t="s">
        <v>686</v>
      </c>
      <c r="J397" s="2" t="s">
        <v>1618</v>
      </c>
      <c r="K397" s="2" t="s">
        <v>67</v>
      </c>
      <c r="L397" s="16">
        <v>133113.54</v>
      </c>
      <c r="M397" s="11">
        <v>133113.54</v>
      </c>
      <c r="N397" s="2" t="s">
        <v>344</v>
      </c>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v>121012.31</v>
      </c>
      <c r="AO397" s="7">
        <v>12101.23</v>
      </c>
      <c r="AP397" s="7"/>
      <c r="AQ397" s="7"/>
      <c r="AR397" s="7"/>
      <c r="AS397" s="7"/>
      <c r="AT397" s="7"/>
      <c r="AU397" s="7"/>
      <c r="AV397" s="7"/>
      <c r="AW397" s="7"/>
      <c r="AX397" s="7"/>
      <c r="AY397" s="7"/>
      <c r="AZ397" s="7"/>
      <c r="BA397" s="7"/>
      <c r="BB397" s="7"/>
      <c r="BC397" s="7"/>
      <c r="BD397" s="7"/>
      <c r="BE397" s="7"/>
      <c r="BF397" s="7"/>
      <c r="BG397" s="7"/>
      <c r="BH397" s="7"/>
      <c r="BI397" s="7"/>
      <c r="BJ397" s="7"/>
      <c r="BK397" s="7"/>
      <c r="BL397" s="7"/>
      <c r="BM397" s="7"/>
      <c r="BN397" s="7"/>
      <c r="BO397" s="7"/>
      <c r="BP397" s="7"/>
      <c r="BQ397" s="7"/>
      <c r="BR397" s="7"/>
      <c r="BS397" s="7"/>
      <c r="BT397" s="7"/>
      <c r="BU397" s="7"/>
      <c r="BV397" s="7"/>
      <c r="BW397" s="8"/>
      <c r="BX397" s="8">
        <v>45691</v>
      </c>
      <c r="BY397" s="2"/>
      <c r="BZ397" s="8"/>
      <c r="CA397" s="14">
        <f t="shared" si="45"/>
        <v>133113.54</v>
      </c>
      <c r="CB397" s="2" t="str">
        <f t="shared" si="46"/>
        <v>OK</v>
      </c>
      <c r="CC397" s="13">
        <f t="shared" si="47"/>
        <v>0</v>
      </c>
    </row>
    <row r="398" spans="1:81" s="9" customFormat="1" ht="110.1" hidden="1" customHeight="1" x14ac:dyDescent="0.25">
      <c r="A398" s="2" t="s">
        <v>1356</v>
      </c>
      <c r="B398" s="2" t="s">
        <v>363</v>
      </c>
      <c r="C398" s="2" t="s">
        <v>342</v>
      </c>
      <c r="D398" s="12" t="s">
        <v>355</v>
      </c>
      <c r="E398" s="2" t="s">
        <v>1721</v>
      </c>
      <c r="F398" s="2" t="s">
        <v>72</v>
      </c>
      <c r="G398" s="2" t="s">
        <v>2034</v>
      </c>
      <c r="H398" s="2" t="s">
        <v>294</v>
      </c>
      <c r="I398" s="2" t="s">
        <v>686</v>
      </c>
      <c r="J398" s="2" t="s">
        <v>1618</v>
      </c>
      <c r="K398" s="2" t="s">
        <v>67</v>
      </c>
      <c r="L398" s="16">
        <v>130947.99</v>
      </c>
      <c r="M398" s="11">
        <v>130947.99</v>
      </c>
      <c r="N398" s="2" t="s">
        <v>344</v>
      </c>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v>32737.06</v>
      </c>
      <c r="AO398" s="7">
        <v>98210.93</v>
      </c>
      <c r="AP398" s="7"/>
      <c r="AQ398" s="7"/>
      <c r="AR398" s="7"/>
      <c r="AS398" s="7"/>
      <c r="AT398" s="7"/>
      <c r="AU398" s="7"/>
      <c r="AV398" s="7"/>
      <c r="AW398" s="7"/>
      <c r="AX398" s="7"/>
      <c r="AY398" s="7"/>
      <c r="AZ398" s="7"/>
      <c r="BA398" s="7"/>
      <c r="BB398" s="7"/>
      <c r="BC398" s="7"/>
      <c r="BD398" s="7"/>
      <c r="BE398" s="7"/>
      <c r="BF398" s="7"/>
      <c r="BG398" s="7"/>
      <c r="BH398" s="7"/>
      <c r="BI398" s="7"/>
      <c r="BJ398" s="7"/>
      <c r="BK398" s="7"/>
      <c r="BL398" s="7"/>
      <c r="BM398" s="7"/>
      <c r="BN398" s="7"/>
      <c r="BO398" s="7"/>
      <c r="BP398" s="7"/>
      <c r="BQ398" s="7"/>
      <c r="BR398" s="7"/>
      <c r="BS398" s="7"/>
      <c r="BT398" s="7"/>
      <c r="BU398" s="7"/>
      <c r="BV398" s="7"/>
      <c r="BW398" s="8"/>
      <c r="BX398" s="8">
        <v>45691</v>
      </c>
      <c r="BY398" s="2"/>
      <c r="BZ398" s="8"/>
      <c r="CA398" s="14">
        <f t="shared" si="45"/>
        <v>130947.98999999999</v>
      </c>
      <c r="CB398" s="2" t="str">
        <f t="shared" si="46"/>
        <v>OK</v>
      </c>
      <c r="CC398" s="13">
        <f t="shared" si="47"/>
        <v>0</v>
      </c>
    </row>
    <row r="399" spans="1:81" s="9" customFormat="1" ht="110.1" hidden="1" customHeight="1" x14ac:dyDescent="0.25">
      <c r="A399" s="2" t="s">
        <v>1357</v>
      </c>
      <c r="B399" s="2" t="s">
        <v>377</v>
      </c>
      <c r="C399" s="2" t="s">
        <v>342</v>
      </c>
      <c r="D399" s="12" t="s">
        <v>343</v>
      </c>
      <c r="E399" s="2" t="s">
        <v>1729</v>
      </c>
      <c r="F399" s="2" t="s">
        <v>72</v>
      </c>
      <c r="G399" s="2" t="s">
        <v>2034</v>
      </c>
      <c r="H399" s="2" t="s">
        <v>294</v>
      </c>
      <c r="I399" s="2" t="s">
        <v>686</v>
      </c>
      <c r="J399" s="2" t="s">
        <v>1618</v>
      </c>
      <c r="K399" s="2" t="s">
        <v>67</v>
      </c>
      <c r="L399" s="16">
        <v>113917.6</v>
      </c>
      <c r="M399" s="11">
        <v>113917.6</v>
      </c>
      <c r="N399" s="2" t="s">
        <v>344</v>
      </c>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v>10356.15</v>
      </c>
      <c r="AO399" s="7">
        <v>103561.45</v>
      </c>
      <c r="AP399" s="7"/>
      <c r="AQ399" s="7"/>
      <c r="AR399" s="7"/>
      <c r="AS399" s="7"/>
      <c r="AT399" s="7"/>
      <c r="AU399" s="7"/>
      <c r="AV399" s="7"/>
      <c r="AW399" s="7"/>
      <c r="AX399" s="7"/>
      <c r="AY399" s="7"/>
      <c r="AZ399" s="7"/>
      <c r="BA399" s="7"/>
      <c r="BB399" s="7"/>
      <c r="BC399" s="7"/>
      <c r="BD399" s="7"/>
      <c r="BE399" s="7"/>
      <c r="BF399" s="7"/>
      <c r="BG399" s="7"/>
      <c r="BH399" s="7"/>
      <c r="BI399" s="7"/>
      <c r="BJ399" s="7"/>
      <c r="BK399" s="7"/>
      <c r="BL399" s="7"/>
      <c r="BM399" s="7"/>
      <c r="BN399" s="7"/>
      <c r="BO399" s="7"/>
      <c r="BP399" s="7"/>
      <c r="BQ399" s="7"/>
      <c r="BR399" s="7"/>
      <c r="BS399" s="7"/>
      <c r="BT399" s="7"/>
      <c r="BU399" s="7"/>
      <c r="BV399" s="7"/>
      <c r="BW399" s="8"/>
      <c r="BX399" s="8">
        <v>45691</v>
      </c>
      <c r="BY399" s="2"/>
      <c r="BZ399" s="8"/>
      <c r="CA399" s="14">
        <f t="shared" si="45"/>
        <v>113917.59999999999</v>
      </c>
      <c r="CB399" s="2" t="str">
        <f t="shared" si="46"/>
        <v>OK</v>
      </c>
      <c r="CC399" s="13">
        <f t="shared" si="47"/>
        <v>0</v>
      </c>
    </row>
    <row r="400" spans="1:81" s="9" customFormat="1" ht="110.1" hidden="1" customHeight="1" x14ac:dyDescent="0.25">
      <c r="A400" s="2" t="s">
        <v>1358</v>
      </c>
      <c r="B400" s="2" t="s">
        <v>359</v>
      </c>
      <c r="C400" s="2" t="s">
        <v>342</v>
      </c>
      <c r="D400" s="12" t="s">
        <v>360</v>
      </c>
      <c r="E400" s="2" t="s">
        <v>1719</v>
      </c>
      <c r="F400" s="2" t="s">
        <v>72</v>
      </c>
      <c r="G400" s="2" t="s">
        <v>2034</v>
      </c>
      <c r="H400" s="2" t="s">
        <v>294</v>
      </c>
      <c r="I400" s="2" t="s">
        <v>686</v>
      </c>
      <c r="J400" s="2" t="s">
        <v>1618</v>
      </c>
      <c r="K400" s="2" t="s">
        <v>67</v>
      </c>
      <c r="L400" s="16">
        <v>104644.03</v>
      </c>
      <c r="M400" s="11">
        <v>104644.03</v>
      </c>
      <c r="N400" s="2" t="s">
        <v>344</v>
      </c>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v>9513.09</v>
      </c>
      <c r="AO400" s="7">
        <v>95130.94</v>
      </c>
      <c r="AP400" s="7"/>
      <c r="AQ400" s="7"/>
      <c r="AR400" s="7"/>
      <c r="AS400" s="7"/>
      <c r="AT400" s="7"/>
      <c r="AU400" s="7"/>
      <c r="AV400" s="7"/>
      <c r="AW400" s="7"/>
      <c r="AX400" s="7"/>
      <c r="AY400" s="7"/>
      <c r="AZ400" s="7"/>
      <c r="BA400" s="7"/>
      <c r="BB400" s="7"/>
      <c r="BC400" s="7"/>
      <c r="BD400" s="7"/>
      <c r="BE400" s="7"/>
      <c r="BF400" s="7"/>
      <c r="BG400" s="7"/>
      <c r="BH400" s="7"/>
      <c r="BI400" s="7"/>
      <c r="BJ400" s="7"/>
      <c r="BK400" s="7"/>
      <c r="BL400" s="7"/>
      <c r="BM400" s="7"/>
      <c r="BN400" s="7"/>
      <c r="BO400" s="7"/>
      <c r="BP400" s="7"/>
      <c r="BQ400" s="7"/>
      <c r="BR400" s="7"/>
      <c r="BS400" s="7"/>
      <c r="BT400" s="7"/>
      <c r="BU400" s="7"/>
      <c r="BV400" s="7"/>
      <c r="BW400" s="8"/>
      <c r="BX400" s="8">
        <v>45691</v>
      </c>
      <c r="BY400" s="2"/>
      <c r="BZ400" s="8"/>
      <c r="CA400" s="14">
        <f t="shared" si="45"/>
        <v>104644.03</v>
      </c>
      <c r="CB400" s="2" t="str">
        <f t="shared" si="46"/>
        <v>OK</v>
      </c>
      <c r="CC400" s="13">
        <f t="shared" si="47"/>
        <v>0</v>
      </c>
    </row>
    <row r="401" spans="1:81" s="9" customFormat="1" ht="110.1" hidden="1" customHeight="1" x14ac:dyDescent="0.25">
      <c r="A401" s="2" t="s">
        <v>1601</v>
      </c>
      <c r="B401" s="2" t="s">
        <v>345</v>
      </c>
      <c r="C401" s="2" t="s">
        <v>342</v>
      </c>
      <c r="D401" s="12" t="s">
        <v>346</v>
      </c>
      <c r="E401" s="2" t="s">
        <v>1705</v>
      </c>
      <c r="F401" s="2" t="s">
        <v>72</v>
      </c>
      <c r="G401" s="2" t="s">
        <v>2034</v>
      </c>
      <c r="H401" s="2" t="s">
        <v>294</v>
      </c>
      <c r="I401" s="2" t="s">
        <v>686</v>
      </c>
      <c r="J401" s="2" t="s">
        <v>1618</v>
      </c>
      <c r="K401" s="2" t="s">
        <v>67</v>
      </c>
      <c r="L401" s="16">
        <v>94474.17</v>
      </c>
      <c r="M401" s="11">
        <v>94474.17</v>
      </c>
      <c r="N401" s="2" t="s">
        <v>344</v>
      </c>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v>85885.61</v>
      </c>
      <c r="AO401" s="7">
        <v>8588.56</v>
      </c>
      <c r="AP401" s="7"/>
      <c r="AQ401" s="7"/>
      <c r="AR401" s="7"/>
      <c r="AS401" s="7"/>
      <c r="AT401" s="7"/>
      <c r="AU401" s="7"/>
      <c r="AV401" s="7"/>
      <c r="AW401" s="7"/>
      <c r="AX401" s="7"/>
      <c r="AY401" s="7"/>
      <c r="AZ401" s="7"/>
      <c r="BA401" s="7"/>
      <c r="BB401" s="7"/>
      <c r="BC401" s="7"/>
      <c r="BD401" s="7"/>
      <c r="BE401" s="7"/>
      <c r="BF401" s="7"/>
      <c r="BG401" s="7"/>
      <c r="BH401" s="7"/>
      <c r="BI401" s="7"/>
      <c r="BJ401" s="7"/>
      <c r="BK401" s="7"/>
      <c r="BL401" s="7"/>
      <c r="BM401" s="7"/>
      <c r="BN401" s="7"/>
      <c r="BO401" s="7"/>
      <c r="BP401" s="7"/>
      <c r="BQ401" s="7"/>
      <c r="BR401" s="7"/>
      <c r="BS401" s="7"/>
      <c r="BT401" s="7"/>
      <c r="BU401" s="7"/>
      <c r="BV401" s="7"/>
      <c r="BW401" s="8"/>
      <c r="BX401" s="8">
        <v>45691</v>
      </c>
      <c r="BY401" s="2"/>
      <c r="BZ401" s="8"/>
      <c r="CA401" s="14">
        <f t="shared" si="45"/>
        <v>94474.17</v>
      </c>
      <c r="CB401" s="2" t="str">
        <f t="shared" si="46"/>
        <v>OK</v>
      </c>
      <c r="CC401" s="13">
        <f t="shared" si="47"/>
        <v>0</v>
      </c>
    </row>
    <row r="402" spans="1:81" s="9" customFormat="1" ht="110.1" hidden="1" customHeight="1" x14ac:dyDescent="0.25">
      <c r="A402" s="2" t="s">
        <v>1609</v>
      </c>
      <c r="B402" s="2" t="s">
        <v>604</v>
      </c>
      <c r="C402" s="2" t="s">
        <v>342</v>
      </c>
      <c r="D402" s="12" t="s">
        <v>605</v>
      </c>
      <c r="E402" s="2" t="s">
        <v>1714</v>
      </c>
      <c r="F402" s="2" t="s">
        <v>65</v>
      </c>
      <c r="G402" s="2" t="s">
        <v>2034</v>
      </c>
      <c r="H402" s="2" t="s">
        <v>294</v>
      </c>
      <c r="I402" s="2" t="s">
        <v>319</v>
      </c>
      <c r="J402" s="2">
        <v>54</v>
      </c>
      <c r="K402" s="2" t="s">
        <v>67</v>
      </c>
      <c r="L402" s="16">
        <v>79922.7</v>
      </c>
      <c r="M402" s="11">
        <v>54261.9</v>
      </c>
      <c r="N402" s="2" t="s">
        <v>344</v>
      </c>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v>493.29</v>
      </c>
      <c r="AO402" s="7">
        <v>53768.61</v>
      </c>
      <c r="AP402" s="7"/>
      <c r="AQ402" s="7"/>
      <c r="AR402" s="7"/>
      <c r="AS402" s="7"/>
      <c r="AT402" s="7"/>
      <c r="AU402" s="7"/>
      <c r="AV402" s="7"/>
      <c r="AW402" s="7"/>
      <c r="AX402" s="7"/>
      <c r="AY402" s="7"/>
      <c r="AZ402" s="7"/>
      <c r="BA402" s="7"/>
      <c r="BB402" s="7"/>
      <c r="BC402" s="7"/>
      <c r="BD402" s="7"/>
      <c r="BE402" s="7"/>
      <c r="BF402" s="7"/>
      <c r="BG402" s="7"/>
      <c r="BH402" s="7"/>
      <c r="BI402" s="7"/>
      <c r="BJ402" s="7"/>
      <c r="BK402" s="7"/>
      <c r="BL402" s="7"/>
      <c r="BM402" s="7"/>
      <c r="BN402" s="7"/>
      <c r="BO402" s="7"/>
      <c r="BP402" s="7"/>
      <c r="BQ402" s="7"/>
      <c r="BR402" s="7"/>
      <c r="BS402" s="7"/>
      <c r="BT402" s="7"/>
      <c r="BU402" s="7"/>
      <c r="BV402" s="7"/>
      <c r="BW402" s="8"/>
      <c r="BX402" s="8">
        <v>45691</v>
      </c>
      <c r="BY402" s="2"/>
      <c r="BZ402" s="8"/>
      <c r="CA402" s="14">
        <f t="shared" si="45"/>
        <v>54261.9</v>
      </c>
      <c r="CB402" s="2" t="str">
        <f t="shared" si="46"/>
        <v>OK</v>
      </c>
      <c r="CC402" s="13">
        <f t="shared" si="47"/>
        <v>0</v>
      </c>
    </row>
    <row r="403" spans="1:81" s="9" customFormat="1" ht="110.1" hidden="1" customHeight="1" x14ac:dyDescent="0.25">
      <c r="A403" s="2" t="s">
        <v>1210</v>
      </c>
      <c r="B403" s="2" t="s">
        <v>291</v>
      </c>
      <c r="C403" s="2" t="s">
        <v>274</v>
      </c>
      <c r="D403" s="12" t="s">
        <v>292</v>
      </c>
      <c r="E403" s="2" t="s">
        <v>293</v>
      </c>
      <c r="F403" s="2" t="s">
        <v>65</v>
      </c>
      <c r="G403" s="2" t="s">
        <v>2036</v>
      </c>
      <c r="H403" s="2" t="s">
        <v>294</v>
      </c>
      <c r="I403" s="2" t="s">
        <v>5</v>
      </c>
      <c r="J403" s="23">
        <v>1000</v>
      </c>
      <c r="K403" s="2" t="s">
        <v>67</v>
      </c>
      <c r="L403" s="16">
        <v>6503344.4199999999</v>
      </c>
      <c r="M403" s="22">
        <v>6503344.4199999999</v>
      </c>
      <c r="N403" s="2" t="s">
        <v>282</v>
      </c>
      <c r="O403" s="7">
        <v>0</v>
      </c>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c r="BD403" s="7"/>
      <c r="BE403" s="7"/>
      <c r="BF403" s="7"/>
      <c r="BG403" s="7"/>
      <c r="BH403" s="7"/>
      <c r="BI403" s="7"/>
      <c r="BJ403" s="7"/>
      <c r="BK403" s="7"/>
      <c r="BL403" s="7"/>
      <c r="BM403" s="7"/>
      <c r="BN403" s="7">
        <v>6503344.4199999999</v>
      </c>
      <c r="BO403" s="7"/>
      <c r="BP403" s="7"/>
      <c r="BQ403" s="7"/>
      <c r="BR403" s="7"/>
      <c r="BS403" s="7"/>
      <c r="BT403" s="7"/>
      <c r="BU403" s="7"/>
      <c r="BV403" s="7"/>
      <c r="BW403" s="8"/>
      <c r="BX403" s="8">
        <v>45698</v>
      </c>
      <c r="BY403" s="2"/>
      <c r="BZ403" s="2"/>
      <c r="CA403" s="14"/>
      <c r="CB403" s="2"/>
      <c r="CC403" s="13"/>
    </row>
    <row r="404" spans="1:81" s="9" customFormat="1" ht="110.1" hidden="1" customHeight="1" x14ac:dyDescent="0.25">
      <c r="A404" s="2" t="s">
        <v>1215</v>
      </c>
      <c r="B404" s="2" t="s">
        <v>309</v>
      </c>
      <c r="C404" s="2" t="s">
        <v>274</v>
      </c>
      <c r="D404" s="12" t="s">
        <v>310</v>
      </c>
      <c r="E404" s="2" t="s">
        <v>311</v>
      </c>
      <c r="F404" s="2" t="s">
        <v>65</v>
      </c>
      <c r="G404" s="2" t="s">
        <v>2036</v>
      </c>
      <c r="H404" s="2" t="s">
        <v>294</v>
      </c>
      <c r="I404" s="2" t="s">
        <v>1743</v>
      </c>
      <c r="J404" s="2">
        <v>925</v>
      </c>
      <c r="K404" s="2" t="s">
        <v>67</v>
      </c>
      <c r="L404" s="16">
        <v>3964751.15</v>
      </c>
      <c r="M404" s="22">
        <v>2964751.15</v>
      </c>
      <c r="N404" s="2" t="s">
        <v>282</v>
      </c>
      <c r="O404" s="7">
        <v>0</v>
      </c>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c r="BD404" s="7"/>
      <c r="BE404" s="7"/>
      <c r="BF404" s="7"/>
      <c r="BG404" s="7"/>
      <c r="BH404" s="7"/>
      <c r="BI404" s="7"/>
      <c r="BJ404" s="7"/>
      <c r="BK404" s="7"/>
      <c r="BL404" s="7"/>
      <c r="BM404" s="7"/>
      <c r="BN404" s="7">
        <v>2964751.15</v>
      </c>
      <c r="BO404" s="7"/>
      <c r="BP404" s="7"/>
      <c r="BQ404" s="7"/>
      <c r="BR404" s="7"/>
      <c r="BS404" s="7"/>
      <c r="BT404" s="7"/>
      <c r="BU404" s="7"/>
      <c r="BV404" s="7"/>
      <c r="BW404" s="8"/>
      <c r="BX404" s="8">
        <v>45698</v>
      </c>
      <c r="BY404" s="2"/>
      <c r="BZ404" s="2"/>
      <c r="CA404" s="14"/>
      <c r="CB404" s="2"/>
      <c r="CC404" s="13"/>
    </row>
    <row r="405" spans="1:81" s="9" customFormat="1" ht="110.1" hidden="1" customHeight="1" x14ac:dyDescent="0.25">
      <c r="A405" s="2" t="s">
        <v>1484</v>
      </c>
      <c r="B405" s="2" t="s">
        <v>888</v>
      </c>
      <c r="C405" s="2" t="s">
        <v>681</v>
      </c>
      <c r="D405" s="12" t="s">
        <v>889</v>
      </c>
      <c r="E405" s="12" t="s">
        <v>890</v>
      </c>
      <c r="F405" s="2" t="s">
        <v>65</v>
      </c>
      <c r="G405" s="2" t="s">
        <v>2025</v>
      </c>
      <c r="H405" s="2" t="s">
        <v>77</v>
      </c>
      <c r="I405" s="2" t="s">
        <v>5</v>
      </c>
      <c r="J405" s="2">
        <v>1</v>
      </c>
      <c r="K405" s="2" t="s">
        <v>67</v>
      </c>
      <c r="L405" s="16">
        <v>39466.67</v>
      </c>
      <c r="M405" s="11">
        <v>39466.67</v>
      </c>
      <c r="N405" s="2" t="s">
        <v>49</v>
      </c>
      <c r="O405" s="7">
        <v>0</v>
      </c>
      <c r="P405" s="7"/>
      <c r="Q405" s="7"/>
      <c r="R405" s="7"/>
      <c r="S405" s="7"/>
      <c r="T405" s="7"/>
      <c r="U405" s="7"/>
      <c r="V405" s="7"/>
      <c r="W405" s="7"/>
      <c r="X405" s="7"/>
      <c r="Y405" s="7"/>
      <c r="Z405" s="7"/>
      <c r="AA405" s="7"/>
      <c r="AB405" s="7"/>
      <c r="AC405" s="7"/>
      <c r="AD405" s="7"/>
      <c r="AE405" s="7"/>
      <c r="AF405" s="7"/>
      <c r="AG405" s="7"/>
      <c r="AH405" s="7">
        <f>M405</f>
        <v>39466.67</v>
      </c>
      <c r="AI405" s="7"/>
      <c r="AJ405" s="7"/>
      <c r="AK405" s="7"/>
      <c r="AL405" s="7"/>
      <c r="AM405" s="7"/>
      <c r="AN405" s="7"/>
      <c r="AO405" s="7"/>
      <c r="AP405" s="7"/>
      <c r="AQ405" s="7"/>
      <c r="AR405" s="7"/>
      <c r="AS405" s="7"/>
      <c r="AT405" s="7"/>
      <c r="AU405" s="7"/>
      <c r="AV405" s="7"/>
      <c r="AW405" s="7"/>
      <c r="AX405" s="7"/>
      <c r="AY405" s="7"/>
      <c r="AZ405" s="7"/>
      <c r="BA405" s="7"/>
      <c r="BB405" s="7"/>
      <c r="BC405" s="7"/>
      <c r="BD405" s="7"/>
      <c r="BE405" s="7"/>
      <c r="BF405" s="7"/>
      <c r="BG405" s="7"/>
      <c r="BH405" s="7"/>
      <c r="BI405" s="7"/>
      <c r="BJ405" s="7"/>
      <c r="BK405" s="7"/>
      <c r="BL405" s="7"/>
      <c r="BM405" s="7"/>
      <c r="BN405" s="7"/>
      <c r="BO405" s="7"/>
      <c r="BP405" s="7"/>
      <c r="BQ405" s="7"/>
      <c r="BR405" s="7"/>
      <c r="BS405" s="7"/>
      <c r="BT405" s="7"/>
      <c r="BU405" s="7"/>
      <c r="BV405" s="7"/>
      <c r="BW405" s="2"/>
      <c r="BX405" s="8">
        <v>45720</v>
      </c>
      <c r="BY405" s="8"/>
      <c r="BZ405" s="8"/>
      <c r="CA405" s="14">
        <f t="shared" ref="CA405:CA436" si="48">SUM(O405:BV405)</f>
        <v>39466.67</v>
      </c>
      <c r="CB405" s="2" t="str">
        <f t="shared" ref="CB405:CB436" si="49">IF(M405=CA405,"OK","CORRIGIR")</f>
        <v>OK</v>
      </c>
      <c r="CC405" s="13">
        <f t="shared" ref="CC405:CC436" si="50">M405-CA405</f>
        <v>0</v>
      </c>
    </row>
    <row r="406" spans="1:81" s="9" customFormat="1" ht="110.1" hidden="1" customHeight="1" x14ac:dyDescent="0.25">
      <c r="A406" s="2" t="s">
        <v>1378</v>
      </c>
      <c r="B406" s="2" t="s">
        <v>412</v>
      </c>
      <c r="C406" s="2" t="s">
        <v>379</v>
      </c>
      <c r="D406" s="12" t="s">
        <v>413</v>
      </c>
      <c r="E406" s="2" t="s">
        <v>414</v>
      </c>
      <c r="F406" s="2" t="s">
        <v>72</v>
      </c>
      <c r="G406" s="2" t="s">
        <v>1668</v>
      </c>
      <c r="H406" s="2" t="s">
        <v>77</v>
      </c>
      <c r="I406" s="2" t="s">
        <v>1618</v>
      </c>
      <c r="J406" s="2" t="s">
        <v>1618</v>
      </c>
      <c r="K406" s="2" t="s">
        <v>384</v>
      </c>
      <c r="L406" s="16">
        <v>35000</v>
      </c>
      <c r="M406" s="11">
        <v>35000</v>
      </c>
      <c r="N406" s="2" t="s">
        <v>381</v>
      </c>
      <c r="O406" s="7"/>
      <c r="P406" s="7"/>
      <c r="Q406" s="7"/>
      <c r="R406" s="7">
        <v>35000</v>
      </c>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c r="BF406" s="7"/>
      <c r="BG406" s="7"/>
      <c r="BH406" s="7"/>
      <c r="BI406" s="7"/>
      <c r="BJ406" s="7"/>
      <c r="BK406" s="7"/>
      <c r="BL406" s="7"/>
      <c r="BM406" s="7"/>
      <c r="BN406" s="7"/>
      <c r="BO406" s="7"/>
      <c r="BP406" s="7"/>
      <c r="BQ406" s="7"/>
      <c r="BR406" s="7"/>
      <c r="BS406" s="7"/>
      <c r="BT406" s="7"/>
      <c r="BU406" s="7"/>
      <c r="BV406" s="7"/>
      <c r="BW406" s="2"/>
      <c r="BX406" s="8">
        <v>45659</v>
      </c>
      <c r="BY406" s="8"/>
      <c r="BZ406" s="8"/>
      <c r="CA406" s="14">
        <f t="shared" si="48"/>
        <v>35000</v>
      </c>
      <c r="CB406" s="2" t="str">
        <f t="shared" si="49"/>
        <v>OK</v>
      </c>
      <c r="CC406" s="13">
        <f t="shared" si="50"/>
        <v>0</v>
      </c>
    </row>
    <row r="407" spans="1:81" s="9" customFormat="1" ht="110.1" hidden="1" customHeight="1" x14ac:dyDescent="0.25">
      <c r="A407" s="2" t="s">
        <v>1327</v>
      </c>
      <c r="B407" s="2" t="s">
        <v>421</v>
      </c>
      <c r="C407" s="2" t="s">
        <v>379</v>
      </c>
      <c r="D407" s="12" t="s">
        <v>422</v>
      </c>
      <c r="E407" s="2" t="s">
        <v>423</v>
      </c>
      <c r="F407" s="2" t="s">
        <v>72</v>
      </c>
      <c r="G407" s="2" t="s">
        <v>1668</v>
      </c>
      <c r="H407" s="2" t="s">
        <v>77</v>
      </c>
      <c r="I407" s="2" t="s">
        <v>1618</v>
      </c>
      <c r="J407" s="2" t="s">
        <v>1618</v>
      </c>
      <c r="K407" s="2" t="s">
        <v>384</v>
      </c>
      <c r="L407" s="16">
        <v>600000</v>
      </c>
      <c r="M407" s="11">
        <v>600000</v>
      </c>
      <c r="N407" s="2" t="s">
        <v>11</v>
      </c>
      <c r="O407" s="7"/>
      <c r="P407" s="7"/>
      <c r="Q407" s="7"/>
      <c r="R407" s="7"/>
      <c r="S407" s="7"/>
      <c r="T407" s="7"/>
      <c r="U407" s="7">
        <f>M407</f>
        <v>600000</v>
      </c>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c r="BB407" s="7"/>
      <c r="BC407" s="7"/>
      <c r="BD407" s="7"/>
      <c r="BE407" s="7"/>
      <c r="BF407" s="7"/>
      <c r="BG407" s="7"/>
      <c r="BH407" s="7"/>
      <c r="BI407" s="7"/>
      <c r="BJ407" s="7"/>
      <c r="BK407" s="7"/>
      <c r="BL407" s="7"/>
      <c r="BM407" s="7"/>
      <c r="BN407" s="7"/>
      <c r="BO407" s="7"/>
      <c r="BP407" s="7"/>
      <c r="BQ407" s="7"/>
      <c r="BR407" s="7"/>
      <c r="BS407" s="7"/>
      <c r="BT407" s="7"/>
      <c r="BU407" s="7"/>
      <c r="BV407" s="7"/>
      <c r="BW407" s="2"/>
      <c r="BX407" s="8">
        <v>45666</v>
      </c>
      <c r="BY407" s="8"/>
      <c r="BZ407" s="8"/>
      <c r="CA407" s="14">
        <f t="shared" si="48"/>
        <v>600000</v>
      </c>
      <c r="CB407" s="2" t="str">
        <f t="shared" si="49"/>
        <v>OK</v>
      </c>
      <c r="CC407" s="13">
        <f t="shared" si="50"/>
        <v>0</v>
      </c>
    </row>
    <row r="408" spans="1:81" s="9" customFormat="1" ht="110.1" hidden="1" customHeight="1" x14ac:dyDescent="0.25">
      <c r="A408" s="2" t="s">
        <v>1365</v>
      </c>
      <c r="B408" s="2" t="s">
        <v>471</v>
      </c>
      <c r="C408" s="2" t="s">
        <v>379</v>
      </c>
      <c r="D408" s="12" t="s">
        <v>472</v>
      </c>
      <c r="E408" s="2" t="s">
        <v>473</v>
      </c>
      <c r="F408" s="2" t="s">
        <v>72</v>
      </c>
      <c r="G408" s="2" t="s">
        <v>1668</v>
      </c>
      <c r="H408" s="2" t="s">
        <v>77</v>
      </c>
      <c r="I408" s="2" t="s">
        <v>1618</v>
      </c>
      <c r="J408" s="2" t="s">
        <v>1618</v>
      </c>
      <c r="K408" s="2" t="s">
        <v>384</v>
      </c>
      <c r="L408" s="16">
        <v>300000</v>
      </c>
      <c r="M408" s="11">
        <v>300000</v>
      </c>
      <c r="N408" s="2" t="s">
        <v>381</v>
      </c>
      <c r="O408" s="7"/>
      <c r="P408" s="7"/>
      <c r="Q408" s="7"/>
      <c r="R408" s="7">
        <v>300000</v>
      </c>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c r="BB408" s="7"/>
      <c r="BC408" s="7"/>
      <c r="BD408" s="7"/>
      <c r="BE408" s="7"/>
      <c r="BF408" s="7"/>
      <c r="BG408" s="7"/>
      <c r="BH408" s="7"/>
      <c r="BI408" s="7"/>
      <c r="BJ408" s="7"/>
      <c r="BK408" s="7"/>
      <c r="BL408" s="7"/>
      <c r="BM408" s="7"/>
      <c r="BN408" s="7"/>
      <c r="BO408" s="7"/>
      <c r="BP408" s="7"/>
      <c r="BQ408" s="7"/>
      <c r="BR408" s="7"/>
      <c r="BS408" s="7"/>
      <c r="BT408" s="7"/>
      <c r="BU408" s="7"/>
      <c r="BV408" s="7"/>
      <c r="BW408" s="2"/>
      <c r="BX408" s="8">
        <v>45701</v>
      </c>
      <c r="BY408" s="8"/>
      <c r="BZ408" s="2"/>
      <c r="CA408" s="14">
        <f t="shared" si="48"/>
        <v>300000</v>
      </c>
      <c r="CB408" s="2" t="str">
        <f t="shared" si="49"/>
        <v>OK</v>
      </c>
      <c r="CC408" s="13">
        <f t="shared" si="50"/>
        <v>0</v>
      </c>
    </row>
    <row r="409" spans="1:81" s="9" customFormat="1" ht="110.1" hidden="1" customHeight="1" x14ac:dyDescent="0.25">
      <c r="A409" s="2" t="s">
        <v>1351</v>
      </c>
      <c r="B409" s="2" t="s">
        <v>436</v>
      </c>
      <c r="C409" s="2" t="s">
        <v>379</v>
      </c>
      <c r="D409" s="12" t="s">
        <v>437</v>
      </c>
      <c r="E409" s="2" t="s">
        <v>438</v>
      </c>
      <c r="F409" s="2" t="s">
        <v>72</v>
      </c>
      <c r="G409" s="2" t="s">
        <v>1668</v>
      </c>
      <c r="H409" s="2" t="s">
        <v>77</v>
      </c>
      <c r="I409" s="2" t="s">
        <v>1618</v>
      </c>
      <c r="J409" s="2" t="s">
        <v>1618</v>
      </c>
      <c r="K409" s="2" t="s">
        <v>384</v>
      </c>
      <c r="L409" s="16">
        <v>380000</v>
      </c>
      <c r="M409" s="11">
        <v>380000</v>
      </c>
      <c r="N409" s="2" t="s">
        <v>11</v>
      </c>
      <c r="O409" s="7"/>
      <c r="P409" s="7"/>
      <c r="Q409" s="7"/>
      <c r="R409" s="7"/>
      <c r="S409" s="7"/>
      <c r="T409" s="7"/>
      <c r="U409" s="7">
        <f>M409</f>
        <v>380000</v>
      </c>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c r="BD409" s="7"/>
      <c r="BE409" s="7"/>
      <c r="BF409" s="7"/>
      <c r="BG409" s="7"/>
      <c r="BH409" s="7"/>
      <c r="BI409" s="7"/>
      <c r="BJ409" s="7"/>
      <c r="BK409" s="7"/>
      <c r="BL409" s="7"/>
      <c r="BM409" s="7"/>
      <c r="BN409" s="7"/>
      <c r="BO409" s="7"/>
      <c r="BP409" s="7"/>
      <c r="BQ409" s="7"/>
      <c r="BR409" s="7"/>
      <c r="BS409" s="7"/>
      <c r="BT409" s="7"/>
      <c r="BU409" s="7"/>
      <c r="BV409" s="7"/>
      <c r="BW409" s="2"/>
      <c r="BX409" s="8">
        <v>45707</v>
      </c>
      <c r="BY409" s="8"/>
      <c r="BZ409" s="8"/>
      <c r="CA409" s="14">
        <f t="shared" si="48"/>
        <v>380000</v>
      </c>
      <c r="CB409" s="2" t="str">
        <f t="shared" si="49"/>
        <v>OK</v>
      </c>
      <c r="CC409" s="13">
        <f t="shared" si="50"/>
        <v>0</v>
      </c>
    </row>
    <row r="410" spans="1:81" s="9" customFormat="1" ht="110.1" hidden="1" customHeight="1" x14ac:dyDescent="0.25">
      <c r="A410" s="2" t="s">
        <v>1316</v>
      </c>
      <c r="B410" s="2" t="s">
        <v>651</v>
      </c>
      <c r="C410" s="2" t="s">
        <v>379</v>
      </c>
      <c r="D410" s="12" t="s">
        <v>652</v>
      </c>
      <c r="E410" s="2" t="s">
        <v>653</v>
      </c>
      <c r="F410" s="2" t="s">
        <v>72</v>
      </c>
      <c r="G410" s="2" t="s">
        <v>1668</v>
      </c>
      <c r="H410" s="2" t="s">
        <v>77</v>
      </c>
      <c r="I410" s="2" t="s">
        <v>1618</v>
      </c>
      <c r="J410" s="2" t="s">
        <v>1618</v>
      </c>
      <c r="K410" s="2" t="s">
        <v>384</v>
      </c>
      <c r="L410" s="16">
        <v>800000</v>
      </c>
      <c r="M410" s="11">
        <v>800000</v>
      </c>
      <c r="N410" s="2" t="s">
        <v>381</v>
      </c>
      <c r="O410" s="7"/>
      <c r="P410" s="7"/>
      <c r="Q410" s="7"/>
      <c r="R410" s="7">
        <v>800000</v>
      </c>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c r="BD410" s="7"/>
      <c r="BE410" s="7"/>
      <c r="BF410" s="7"/>
      <c r="BG410" s="7"/>
      <c r="BH410" s="7"/>
      <c r="BI410" s="7"/>
      <c r="BJ410" s="7"/>
      <c r="BK410" s="7"/>
      <c r="BL410" s="7"/>
      <c r="BM410" s="7"/>
      <c r="BN410" s="7"/>
      <c r="BO410" s="7"/>
      <c r="BP410" s="7"/>
      <c r="BQ410" s="7"/>
      <c r="BR410" s="7"/>
      <c r="BS410" s="7"/>
      <c r="BT410" s="7"/>
      <c r="BU410" s="7"/>
      <c r="BV410" s="7"/>
      <c r="BW410" s="2"/>
      <c r="BX410" s="8">
        <v>45711</v>
      </c>
      <c r="BY410" s="8"/>
      <c r="BZ410" s="8"/>
      <c r="CA410" s="14">
        <f t="shared" si="48"/>
        <v>800000</v>
      </c>
      <c r="CB410" s="2" t="str">
        <f t="shared" si="49"/>
        <v>OK</v>
      </c>
      <c r="CC410" s="13">
        <f t="shared" si="50"/>
        <v>0</v>
      </c>
    </row>
    <row r="411" spans="1:81" s="9" customFormat="1" ht="93.75" hidden="1" customHeight="1" x14ac:dyDescent="0.25">
      <c r="A411" s="2" t="s">
        <v>1312</v>
      </c>
      <c r="B411" s="2" t="s">
        <v>449</v>
      </c>
      <c r="C411" s="2" t="s">
        <v>379</v>
      </c>
      <c r="D411" s="12" t="s">
        <v>450</v>
      </c>
      <c r="E411" s="2" t="s">
        <v>451</v>
      </c>
      <c r="F411" s="2" t="s">
        <v>72</v>
      </c>
      <c r="G411" s="2" t="s">
        <v>1668</v>
      </c>
      <c r="H411" s="2" t="s">
        <v>77</v>
      </c>
      <c r="I411" s="2" t="s">
        <v>1618</v>
      </c>
      <c r="J411" s="2" t="s">
        <v>1618</v>
      </c>
      <c r="K411" s="2" t="s">
        <v>384</v>
      </c>
      <c r="L411" s="16">
        <v>850000</v>
      </c>
      <c r="M411" s="11">
        <v>850000</v>
      </c>
      <c r="N411" s="2" t="s">
        <v>23</v>
      </c>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f>M411</f>
        <v>850000</v>
      </c>
      <c r="AU411" s="7"/>
      <c r="AV411" s="7"/>
      <c r="AW411" s="7"/>
      <c r="AX411" s="7"/>
      <c r="AY411" s="7"/>
      <c r="AZ411" s="7"/>
      <c r="BA411" s="7"/>
      <c r="BB411" s="7"/>
      <c r="BC411" s="7"/>
      <c r="BD411" s="7"/>
      <c r="BE411" s="7"/>
      <c r="BF411" s="7"/>
      <c r="BG411" s="7"/>
      <c r="BH411" s="7"/>
      <c r="BI411" s="7"/>
      <c r="BJ411" s="7"/>
      <c r="BK411" s="7"/>
      <c r="BL411" s="7"/>
      <c r="BM411" s="7"/>
      <c r="BN411" s="7"/>
      <c r="BO411" s="7"/>
      <c r="BP411" s="7"/>
      <c r="BQ411" s="7"/>
      <c r="BR411" s="7"/>
      <c r="BS411" s="7"/>
      <c r="BT411" s="7"/>
      <c r="BU411" s="7"/>
      <c r="BV411" s="7"/>
      <c r="BW411" s="2"/>
      <c r="BX411" s="8">
        <v>45777</v>
      </c>
      <c r="BY411" s="8"/>
      <c r="BZ411" s="8"/>
      <c r="CA411" s="14">
        <f t="shared" si="48"/>
        <v>850000</v>
      </c>
      <c r="CB411" s="2" t="str">
        <f t="shared" si="49"/>
        <v>OK</v>
      </c>
      <c r="CC411" s="13">
        <f t="shared" si="50"/>
        <v>0</v>
      </c>
    </row>
    <row r="412" spans="1:81" s="9" customFormat="1" ht="110.1" hidden="1" customHeight="1" x14ac:dyDescent="0.25">
      <c r="A412" s="2" t="s">
        <v>1349</v>
      </c>
      <c r="B412" s="2" t="s">
        <v>465</v>
      </c>
      <c r="C412" s="2" t="s">
        <v>379</v>
      </c>
      <c r="D412" s="12" t="s">
        <v>466</v>
      </c>
      <c r="E412" s="2" t="s">
        <v>467</v>
      </c>
      <c r="F412" s="2" t="s">
        <v>72</v>
      </c>
      <c r="G412" s="2" t="s">
        <v>1668</v>
      </c>
      <c r="H412" s="2" t="s">
        <v>77</v>
      </c>
      <c r="I412" s="2" t="s">
        <v>1618</v>
      </c>
      <c r="J412" s="2" t="s">
        <v>1618</v>
      </c>
      <c r="K412" s="2" t="s">
        <v>384</v>
      </c>
      <c r="L412" s="16">
        <v>400000</v>
      </c>
      <c r="M412" s="11">
        <v>400000</v>
      </c>
      <c r="N412" s="2" t="s">
        <v>381</v>
      </c>
      <c r="O412" s="7"/>
      <c r="P412" s="7"/>
      <c r="Q412" s="7"/>
      <c r="R412" s="7">
        <v>400000</v>
      </c>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c r="BF412" s="7"/>
      <c r="BG412" s="7"/>
      <c r="BH412" s="7"/>
      <c r="BI412" s="7"/>
      <c r="BJ412" s="7"/>
      <c r="BK412" s="7"/>
      <c r="BL412" s="7"/>
      <c r="BM412" s="7"/>
      <c r="BN412" s="7"/>
      <c r="BO412" s="7"/>
      <c r="BP412" s="7"/>
      <c r="BQ412" s="7"/>
      <c r="BR412" s="7"/>
      <c r="BS412" s="7"/>
      <c r="BT412" s="7"/>
      <c r="BU412" s="7"/>
      <c r="BV412" s="7"/>
      <c r="BW412" s="2"/>
      <c r="BX412" s="8">
        <v>45784</v>
      </c>
      <c r="BY412" s="8"/>
      <c r="BZ412" s="2"/>
      <c r="CA412" s="14">
        <f t="shared" si="48"/>
        <v>400000</v>
      </c>
      <c r="CB412" s="2" t="str">
        <f t="shared" si="49"/>
        <v>OK</v>
      </c>
      <c r="CC412" s="13">
        <f t="shared" si="50"/>
        <v>0</v>
      </c>
    </row>
    <row r="413" spans="1:81" s="9" customFormat="1" ht="110.1" hidden="1" customHeight="1" x14ac:dyDescent="0.25">
      <c r="A413" s="2" t="s">
        <v>1301</v>
      </c>
      <c r="B413" s="2" t="s">
        <v>454</v>
      </c>
      <c r="C413" s="2" t="s">
        <v>379</v>
      </c>
      <c r="D413" s="12" t="s">
        <v>455</v>
      </c>
      <c r="E413" s="2" t="s">
        <v>456</v>
      </c>
      <c r="F413" s="2" t="s">
        <v>72</v>
      </c>
      <c r="G413" s="2" t="s">
        <v>1668</v>
      </c>
      <c r="H413" s="2" t="s">
        <v>77</v>
      </c>
      <c r="I413" s="2" t="s">
        <v>1618</v>
      </c>
      <c r="J413" s="2" t="s">
        <v>1618</v>
      </c>
      <c r="K413" s="2" t="s">
        <v>384</v>
      </c>
      <c r="L413" s="16">
        <v>1500000</v>
      </c>
      <c r="M413" s="11">
        <v>1500000</v>
      </c>
      <c r="N413" s="2" t="s">
        <v>381</v>
      </c>
      <c r="O413" s="7"/>
      <c r="P413" s="7"/>
      <c r="Q413" s="7"/>
      <c r="R413" s="7">
        <v>1500000</v>
      </c>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c r="BE413" s="7"/>
      <c r="BF413" s="7"/>
      <c r="BG413" s="7"/>
      <c r="BH413" s="7"/>
      <c r="BI413" s="7"/>
      <c r="BJ413" s="7"/>
      <c r="BK413" s="7"/>
      <c r="BL413" s="7"/>
      <c r="BM413" s="7"/>
      <c r="BN413" s="7"/>
      <c r="BO413" s="7"/>
      <c r="BP413" s="7"/>
      <c r="BQ413" s="7"/>
      <c r="BR413" s="7"/>
      <c r="BS413" s="7"/>
      <c r="BT413" s="7"/>
      <c r="BU413" s="7"/>
      <c r="BV413" s="7"/>
      <c r="BW413" s="2"/>
      <c r="BX413" s="8">
        <v>45790</v>
      </c>
      <c r="BY413" s="8"/>
      <c r="BZ413" s="8"/>
      <c r="CA413" s="14">
        <f t="shared" si="48"/>
        <v>1500000</v>
      </c>
      <c r="CB413" s="2" t="str">
        <f t="shared" si="49"/>
        <v>OK</v>
      </c>
      <c r="CC413" s="13">
        <f t="shared" si="50"/>
        <v>0</v>
      </c>
    </row>
    <row r="414" spans="1:81" s="9" customFormat="1" ht="110.1" hidden="1" customHeight="1" x14ac:dyDescent="0.25">
      <c r="A414" s="2" t="s">
        <v>1272</v>
      </c>
      <c r="B414" s="2" t="s">
        <v>617</v>
      </c>
      <c r="C414" s="2" t="s">
        <v>379</v>
      </c>
      <c r="D414" s="12" t="s">
        <v>618</v>
      </c>
      <c r="E414" s="2" t="s">
        <v>619</v>
      </c>
      <c r="F414" s="2" t="s">
        <v>72</v>
      </c>
      <c r="G414" s="2" t="s">
        <v>1668</v>
      </c>
      <c r="H414" s="2" t="s">
        <v>77</v>
      </c>
      <c r="I414" s="2" t="s">
        <v>1618</v>
      </c>
      <c r="J414" s="2" t="s">
        <v>1618</v>
      </c>
      <c r="K414" s="2" t="s">
        <v>384</v>
      </c>
      <c r="L414" s="16">
        <v>7000000</v>
      </c>
      <c r="M414" s="16">
        <v>3000000</v>
      </c>
      <c r="N414" s="2" t="s">
        <v>381</v>
      </c>
      <c r="O414" s="7"/>
      <c r="P414" s="7"/>
      <c r="Q414" s="7"/>
      <c r="R414" s="7">
        <v>3000000</v>
      </c>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c r="BF414" s="7"/>
      <c r="BG414" s="7"/>
      <c r="BH414" s="7"/>
      <c r="BI414" s="7"/>
      <c r="BJ414" s="7"/>
      <c r="BK414" s="7"/>
      <c r="BL414" s="7"/>
      <c r="BM414" s="7"/>
      <c r="BN414" s="7"/>
      <c r="BO414" s="7"/>
      <c r="BP414" s="7"/>
      <c r="BQ414" s="7"/>
      <c r="BR414" s="7"/>
      <c r="BS414" s="7"/>
      <c r="BT414" s="7"/>
      <c r="BU414" s="7"/>
      <c r="BV414" s="7"/>
      <c r="BW414" s="2"/>
      <c r="BX414" s="8">
        <v>45793</v>
      </c>
      <c r="BY414" s="8"/>
      <c r="BZ414" s="8"/>
      <c r="CA414" s="14">
        <f t="shared" si="48"/>
        <v>3000000</v>
      </c>
      <c r="CB414" s="2" t="str">
        <f t="shared" si="49"/>
        <v>OK</v>
      </c>
      <c r="CC414" s="13">
        <f t="shared" si="50"/>
        <v>0</v>
      </c>
    </row>
    <row r="415" spans="1:81" s="9" customFormat="1" ht="120" hidden="1" customHeight="1" x14ac:dyDescent="0.25">
      <c r="A415" s="2" t="s">
        <v>1315</v>
      </c>
      <c r="B415" s="2" t="s">
        <v>444</v>
      </c>
      <c r="C415" s="2" t="s">
        <v>379</v>
      </c>
      <c r="D415" s="12" t="s">
        <v>445</v>
      </c>
      <c r="E415" s="2" t="s">
        <v>446</v>
      </c>
      <c r="F415" s="2" t="s">
        <v>72</v>
      </c>
      <c r="G415" s="2" t="s">
        <v>1668</v>
      </c>
      <c r="H415" s="2" t="s">
        <v>77</v>
      </c>
      <c r="I415" s="2" t="s">
        <v>1618</v>
      </c>
      <c r="J415" s="2" t="s">
        <v>1618</v>
      </c>
      <c r="K415" s="2" t="s">
        <v>384</v>
      </c>
      <c r="L415" s="16">
        <v>800000</v>
      </c>
      <c r="M415" s="11">
        <v>800000</v>
      </c>
      <c r="N415" s="2" t="s">
        <v>381</v>
      </c>
      <c r="O415" s="7"/>
      <c r="P415" s="7"/>
      <c r="Q415" s="7"/>
      <c r="R415" s="7">
        <f>M415</f>
        <v>800000</v>
      </c>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c r="BE415" s="7"/>
      <c r="BF415" s="7"/>
      <c r="BG415" s="7"/>
      <c r="BH415" s="7"/>
      <c r="BI415" s="7"/>
      <c r="BJ415" s="7"/>
      <c r="BK415" s="7"/>
      <c r="BL415" s="7"/>
      <c r="BM415" s="7"/>
      <c r="BN415" s="7"/>
      <c r="BO415" s="7"/>
      <c r="BP415" s="7"/>
      <c r="BQ415" s="7"/>
      <c r="BR415" s="7"/>
      <c r="BS415" s="7"/>
      <c r="BT415" s="7"/>
      <c r="BU415" s="7"/>
      <c r="BV415" s="7"/>
      <c r="BW415" s="2"/>
      <c r="BX415" s="8">
        <v>45798</v>
      </c>
      <c r="BY415" s="8"/>
      <c r="BZ415" s="8"/>
      <c r="CA415" s="14">
        <f t="shared" si="48"/>
        <v>800000</v>
      </c>
      <c r="CB415" s="2" t="str">
        <f t="shared" si="49"/>
        <v>OK</v>
      </c>
      <c r="CC415" s="13">
        <f t="shared" si="50"/>
        <v>0</v>
      </c>
    </row>
    <row r="416" spans="1:81" s="9" customFormat="1" ht="110.1" hidden="1" customHeight="1" x14ac:dyDescent="0.25">
      <c r="A416" s="2" t="s">
        <v>1288</v>
      </c>
      <c r="B416" s="2" t="s">
        <v>545</v>
      </c>
      <c r="C416" s="2" t="s">
        <v>379</v>
      </c>
      <c r="D416" s="12" t="s">
        <v>546</v>
      </c>
      <c r="E416" s="2" t="s">
        <v>547</v>
      </c>
      <c r="F416" s="2" t="s">
        <v>72</v>
      </c>
      <c r="G416" s="2" t="s">
        <v>1668</v>
      </c>
      <c r="H416" s="2" t="s">
        <v>77</v>
      </c>
      <c r="I416" s="2" t="s">
        <v>1618</v>
      </c>
      <c r="J416" s="2" t="s">
        <v>1618</v>
      </c>
      <c r="K416" s="2" t="s">
        <v>384</v>
      </c>
      <c r="L416" s="16">
        <v>2350000</v>
      </c>
      <c r="M416" s="11">
        <v>2350000</v>
      </c>
      <c r="N416" s="2" t="s">
        <v>381</v>
      </c>
      <c r="O416" s="7"/>
      <c r="P416" s="7"/>
      <c r="Q416" s="7"/>
      <c r="R416" s="7">
        <f>M416</f>
        <v>2350000</v>
      </c>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c r="BD416" s="7"/>
      <c r="BE416" s="7"/>
      <c r="BF416" s="7"/>
      <c r="BG416" s="7"/>
      <c r="BH416" s="7"/>
      <c r="BI416" s="7"/>
      <c r="BJ416" s="7"/>
      <c r="BK416" s="7"/>
      <c r="BL416" s="7"/>
      <c r="BM416" s="7"/>
      <c r="BN416" s="7"/>
      <c r="BO416" s="7"/>
      <c r="BP416" s="7"/>
      <c r="BQ416" s="7"/>
      <c r="BR416" s="7"/>
      <c r="BS416" s="7"/>
      <c r="BT416" s="7"/>
      <c r="BU416" s="7"/>
      <c r="BV416" s="7"/>
      <c r="BW416" s="2"/>
      <c r="BX416" s="8">
        <v>45830</v>
      </c>
      <c r="BY416" s="8"/>
      <c r="BZ416" s="2" t="s">
        <v>1782</v>
      </c>
      <c r="CA416" s="14">
        <f t="shared" si="48"/>
        <v>2350000</v>
      </c>
      <c r="CB416" s="2" t="str">
        <f t="shared" si="49"/>
        <v>OK</v>
      </c>
      <c r="CC416" s="13">
        <f t="shared" si="50"/>
        <v>0</v>
      </c>
    </row>
    <row r="417" spans="1:81" s="9" customFormat="1" ht="110.1" hidden="1" customHeight="1" x14ac:dyDescent="0.25">
      <c r="A417" s="2" t="s">
        <v>1292</v>
      </c>
      <c r="B417" s="2" t="s">
        <v>623</v>
      </c>
      <c r="C417" s="2" t="s">
        <v>379</v>
      </c>
      <c r="D417" s="12" t="s">
        <v>624</v>
      </c>
      <c r="E417" s="2" t="s">
        <v>625</v>
      </c>
      <c r="F417" s="2" t="s">
        <v>72</v>
      </c>
      <c r="G417" s="2" t="s">
        <v>1668</v>
      </c>
      <c r="H417" s="2" t="s">
        <v>77</v>
      </c>
      <c r="I417" s="2" t="s">
        <v>1618</v>
      </c>
      <c r="J417" s="2" t="s">
        <v>1618</v>
      </c>
      <c r="K417" s="2" t="s">
        <v>384</v>
      </c>
      <c r="L417" s="16">
        <v>2000000</v>
      </c>
      <c r="M417" s="11">
        <v>2000000</v>
      </c>
      <c r="N417" s="2" t="s">
        <v>381</v>
      </c>
      <c r="O417" s="7"/>
      <c r="P417" s="7"/>
      <c r="Q417" s="7"/>
      <c r="R417" s="7">
        <v>2000000</v>
      </c>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c r="BB417" s="7"/>
      <c r="BC417" s="7"/>
      <c r="BD417" s="7"/>
      <c r="BE417" s="7"/>
      <c r="BF417" s="7"/>
      <c r="BG417" s="7"/>
      <c r="BH417" s="7"/>
      <c r="BI417" s="7"/>
      <c r="BJ417" s="7"/>
      <c r="BK417" s="7"/>
      <c r="BL417" s="7"/>
      <c r="BM417" s="7"/>
      <c r="BN417" s="7"/>
      <c r="BO417" s="7"/>
      <c r="BP417" s="7"/>
      <c r="BQ417" s="7"/>
      <c r="BR417" s="7"/>
      <c r="BS417" s="7"/>
      <c r="BT417" s="7"/>
      <c r="BU417" s="7"/>
      <c r="BV417" s="7"/>
      <c r="BW417" s="2"/>
      <c r="BX417" s="8">
        <v>45830</v>
      </c>
      <c r="BY417" s="8"/>
      <c r="BZ417" s="2" t="s">
        <v>1784</v>
      </c>
      <c r="CA417" s="14">
        <f t="shared" si="48"/>
        <v>2000000</v>
      </c>
      <c r="CB417" s="2" t="str">
        <f t="shared" si="49"/>
        <v>OK</v>
      </c>
      <c r="CC417" s="13">
        <f t="shared" si="50"/>
        <v>0</v>
      </c>
    </row>
    <row r="418" spans="1:81" s="9" customFormat="1" ht="110.1" hidden="1" customHeight="1" x14ac:dyDescent="0.25">
      <c r="A418" s="2" t="s">
        <v>1277</v>
      </c>
      <c r="B418" s="2" t="s">
        <v>630</v>
      </c>
      <c r="C418" s="2" t="s">
        <v>379</v>
      </c>
      <c r="D418" s="12" t="s">
        <v>631</v>
      </c>
      <c r="E418" s="2" t="s">
        <v>632</v>
      </c>
      <c r="F418" s="2" t="s">
        <v>72</v>
      </c>
      <c r="G418" s="2" t="s">
        <v>1668</v>
      </c>
      <c r="H418" s="2" t="s">
        <v>77</v>
      </c>
      <c r="I418" s="2" t="s">
        <v>1618</v>
      </c>
      <c r="J418" s="2" t="s">
        <v>1618</v>
      </c>
      <c r="K418" s="2" t="s">
        <v>384</v>
      </c>
      <c r="L418" s="16">
        <v>3600000</v>
      </c>
      <c r="M418" s="11">
        <v>3600000</v>
      </c>
      <c r="N418" s="2" t="s">
        <v>381</v>
      </c>
      <c r="O418" s="7"/>
      <c r="P418" s="7"/>
      <c r="Q418" s="7"/>
      <c r="R418" s="7">
        <v>3600000</v>
      </c>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c r="BA418" s="7"/>
      <c r="BB418" s="7"/>
      <c r="BC418" s="7"/>
      <c r="BD418" s="7"/>
      <c r="BE418" s="7"/>
      <c r="BF418" s="7"/>
      <c r="BG418" s="7"/>
      <c r="BH418" s="7"/>
      <c r="BI418" s="7"/>
      <c r="BJ418" s="7"/>
      <c r="BK418" s="7"/>
      <c r="BL418" s="7"/>
      <c r="BM418" s="7"/>
      <c r="BN418" s="7"/>
      <c r="BO418" s="7"/>
      <c r="BP418" s="7"/>
      <c r="BQ418" s="7"/>
      <c r="BR418" s="7"/>
      <c r="BS418" s="7"/>
      <c r="BT418" s="7"/>
      <c r="BU418" s="7"/>
      <c r="BV418" s="7"/>
      <c r="BW418" s="2"/>
      <c r="BX418" s="8">
        <v>45837</v>
      </c>
      <c r="BY418" s="8"/>
      <c r="BZ418" s="8"/>
      <c r="CA418" s="14">
        <f t="shared" si="48"/>
        <v>3600000</v>
      </c>
      <c r="CB418" s="2" t="str">
        <f t="shared" si="49"/>
        <v>OK</v>
      </c>
      <c r="CC418" s="13">
        <f t="shared" si="50"/>
        <v>0</v>
      </c>
    </row>
    <row r="419" spans="1:81" s="9" customFormat="1" ht="110.1" hidden="1" customHeight="1" x14ac:dyDescent="0.25">
      <c r="A419" s="2" t="s">
        <v>1391</v>
      </c>
      <c r="B419" s="2" t="s">
        <v>1119</v>
      </c>
      <c r="C419" s="2" t="s">
        <v>681</v>
      </c>
      <c r="D419" s="12" t="s">
        <v>1777</v>
      </c>
      <c r="E419" s="2" t="s">
        <v>1778</v>
      </c>
      <c r="F419" s="2" t="s">
        <v>1694</v>
      </c>
      <c r="G419" s="2" t="s">
        <v>1668</v>
      </c>
      <c r="H419" s="2" t="s">
        <v>77</v>
      </c>
      <c r="I419" s="2" t="s">
        <v>1618</v>
      </c>
      <c r="J419" s="2" t="s">
        <v>1618</v>
      </c>
      <c r="K419" s="2" t="s">
        <v>67</v>
      </c>
      <c r="L419" s="13">
        <v>20124999.73</v>
      </c>
      <c r="M419" s="11">
        <v>5000000</v>
      </c>
      <c r="N419" s="23" t="s">
        <v>11</v>
      </c>
      <c r="O419" s="7"/>
      <c r="P419" s="7"/>
      <c r="Q419" s="7"/>
      <c r="R419" s="7"/>
      <c r="S419" s="7"/>
      <c r="T419" s="7"/>
      <c r="U419" s="7">
        <f>M419</f>
        <v>5000000</v>
      </c>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c r="BB419" s="7"/>
      <c r="BC419" s="7"/>
      <c r="BD419" s="7"/>
      <c r="BE419" s="7"/>
      <c r="BF419" s="7"/>
      <c r="BG419" s="7"/>
      <c r="BH419" s="7"/>
      <c r="BI419" s="7"/>
      <c r="BJ419" s="7"/>
      <c r="BK419" s="7"/>
      <c r="BL419" s="7"/>
      <c r="BM419" s="7"/>
      <c r="BN419" s="7"/>
      <c r="BO419" s="7"/>
      <c r="BP419" s="7"/>
      <c r="BQ419" s="7"/>
      <c r="BR419" s="7"/>
      <c r="BS419" s="7"/>
      <c r="BT419" s="7"/>
      <c r="BU419" s="7"/>
      <c r="BV419" s="7"/>
      <c r="BW419" s="2"/>
      <c r="BX419" s="8">
        <v>45839</v>
      </c>
      <c r="BY419" s="2"/>
      <c r="BZ419" s="8"/>
      <c r="CA419" s="14">
        <f t="shared" si="48"/>
        <v>5000000</v>
      </c>
      <c r="CB419" s="2" t="str">
        <f t="shared" si="49"/>
        <v>OK</v>
      </c>
      <c r="CC419" s="13">
        <f t="shared" si="50"/>
        <v>0</v>
      </c>
    </row>
    <row r="420" spans="1:81" s="9" customFormat="1" ht="110.1" hidden="1" customHeight="1" x14ac:dyDescent="0.25">
      <c r="A420" s="2" t="s">
        <v>1282</v>
      </c>
      <c r="B420" s="2" t="s">
        <v>645</v>
      </c>
      <c r="C420" s="2" t="s">
        <v>379</v>
      </c>
      <c r="D420" s="12" t="s">
        <v>646</v>
      </c>
      <c r="E420" s="2" t="s">
        <v>647</v>
      </c>
      <c r="F420" s="2" t="s">
        <v>72</v>
      </c>
      <c r="G420" s="2" t="s">
        <v>1668</v>
      </c>
      <c r="H420" s="2" t="s">
        <v>77</v>
      </c>
      <c r="I420" s="2" t="s">
        <v>1618</v>
      </c>
      <c r="J420" s="2" t="s">
        <v>1618</v>
      </c>
      <c r="K420" s="2" t="s">
        <v>384</v>
      </c>
      <c r="L420" s="16">
        <v>2700000</v>
      </c>
      <c r="M420" s="11">
        <v>2700000</v>
      </c>
      <c r="N420" s="2" t="s">
        <v>381</v>
      </c>
      <c r="O420" s="7"/>
      <c r="P420" s="7"/>
      <c r="Q420" s="7"/>
      <c r="R420" s="7">
        <v>2700000</v>
      </c>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c r="BA420" s="7"/>
      <c r="BB420" s="7"/>
      <c r="BC420" s="7"/>
      <c r="BD420" s="7"/>
      <c r="BE420" s="7"/>
      <c r="BF420" s="7"/>
      <c r="BG420" s="7"/>
      <c r="BH420" s="7"/>
      <c r="BI420" s="7"/>
      <c r="BJ420" s="7"/>
      <c r="BK420" s="7"/>
      <c r="BL420" s="7"/>
      <c r="BM420" s="7"/>
      <c r="BN420" s="7"/>
      <c r="BO420" s="7"/>
      <c r="BP420" s="7"/>
      <c r="BQ420" s="7"/>
      <c r="BR420" s="7"/>
      <c r="BS420" s="7"/>
      <c r="BT420" s="7"/>
      <c r="BU420" s="7"/>
      <c r="BV420" s="7"/>
      <c r="BW420" s="2"/>
      <c r="BX420" s="8">
        <v>45895</v>
      </c>
      <c r="BY420" s="8"/>
      <c r="BZ420" s="8"/>
      <c r="CA420" s="14">
        <f t="shared" si="48"/>
        <v>2700000</v>
      </c>
      <c r="CB420" s="2" t="str">
        <f t="shared" si="49"/>
        <v>OK</v>
      </c>
      <c r="CC420" s="13">
        <f t="shared" si="50"/>
        <v>0</v>
      </c>
    </row>
    <row r="421" spans="1:81" s="9" customFormat="1" ht="110.1" hidden="1" customHeight="1" x14ac:dyDescent="0.25">
      <c r="A421" s="2" t="s">
        <v>1274</v>
      </c>
      <c r="B421" s="2" t="s">
        <v>648</v>
      </c>
      <c r="C421" s="2" t="s">
        <v>379</v>
      </c>
      <c r="D421" s="12" t="s">
        <v>649</v>
      </c>
      <c r="E421" s="2" t="s">
        <v>650</v>
      </c>
      <c r="F421" s="2" t="s">
        <v>72</v>
      </c>
      <c r="G421" s="2" t="s">
        <v>1668</v>
      </c>
      <c r="H421" s="2" t="s">
        <v>77</v>
      </c>
      <c r="I421" s="2" t="s">
        <v>1618</v>
      </c>
      <c r="J421" s="2" t="s">
        <v>1618</v>
      </c>
      <c r="K421" s="2" t="s">
        <v>384</v>
      </c>
      <c r="L421" s="16">
        <v>4500000</v>
      </c>
      <c r="M421" s="16">
        <v>3000000</v>
      </c>
      <c r="N421" s="2" t="s">
        <v>381</v>
      </c>
      <c r="O421" s="7"/>
      <c r="P421" s="7"/>
      <c r="Q421" s="7"/>
      <c r="R421" s="7">
        <v>3000000</v>
      </c>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c r="BA421" s="7"/>
      <c r="BB421" s="7"/>
      <c r="BC421" s="7"/>
      <c r="BD421" s="7"/>
      <c r="BE421" s="7"/>
      <c r="BF421" s="7"/>
      <c r="BG421" s="7"/>
      <c r="BH421" s="7"/>
      <c r="BI421" s="7"/>
      <c r="BJ421" s="7"/>
      <c r="BK421" s="7"/>
      <c r="BL421" s="7"/>
      <c r="BM421" s="7"/>
      <c r="BN421" s="7"/>
      <c r="BO421" s="7"/>
      <c r="BP421" s="7"/>
      <c r="BQ421" s="7"/>
      <c r="BR421" s="7"/>
      <c r="BS421" s="7"/>
      <c r="BT421" s="7"/>
      <c r="BU421" s="7"/>
      <c r="BV421" s="7"/>
      <c r="BW421" s="2"/>
      <c r="BX421" s="8">
        <v>45923</v>
      </c>
      <c r="BY421" s="8"/>
      <c r="BZ421" s="8"/>
      <c r="CA421" s="14">
        <f t="shared" si="48"/>
        <v>3000000</v>
      </c>
      <c r="CB421" s="2" t="str">
        <f t="shared" si="49"/>
        <v>OK</v>
      </c>
      <c r="CC421" s="13">
        <f t="shared" si="50"/>
        <v>0</v>
      </c>
    </row>
    <row r="422" spans="1:81" s="9" customFormat="1" ht="110.1" hidden="1" customHeight="1" x14ac:dyDescent="0.25">
      <c r="A422" s="2" t="s">
        <v>1291</v>
      </c>
      <c r="B422" s="2" t="s">
        <v>418</v>
      </c>
      <c r="C422" s="2" t="s">
        <v>379</v>
      </c>
      <c r="D422" s="12" t="s">
        <v>419</v>
      </c>
      <c r="E422" s="2" t="s">
        <v>420</v>
      </c>
      <c r="F422" s="2" t="s">
        <v>72</v>
      </c>
      <c r="G422" s="2" t="s">
        <v>1668</v>
      </c>
      <c r="H422" s="2" t="s">
        <v>77</v>
      </c>
      <c r="I422" s="2" t="s">
        <v>1618</v>
      </c>
      <c r="J422" s="2" t="s">
        <v>1618</v>
      </c>
      <c r="K422" s="2" t="s">
        <v>384</v>
      </c>
      <c r="L422" s="16">
        <v>2000000</v>
      </c>
      <c r="M422" s="11">
        <v>2000000</v>
      </c>
      <c r="N422" s="2" t="s">
        <v>398</v>
      </c>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f>M422</f>
        <v>2000000</v>
      </c>
      <c r="AV422" s="7"/>
      <c r="AW422" s="7"/>
      <c r="AX422" s="7"/>
      <c r="AY422" s="7"/>
      <c r="AZ422" s="7"/>
      <c r="BA422" s="7"/>
      <c r="BB422" s="7"/>
      <c r="BC422" s="7"/>
      <c r="BD422" s="7"/>
      <c r="BE422" s="7"/>
      <c r="BF422" s="7"/>
      <c r="BG422" s="7"/>
      <c r="BH422" s="7"/>
      <c r="BI422" s="7"/>
      <c r="BJ422" s="7"/>
      <c r="BK422" s="7"/>
      <c r="BL422" s="7"/>
      <c r="BM422" s="7"/>
      <c r="BN422" s="7"/>
      <c r="BO422" s="7"/>
      <c r="BP422" s="7"/>
      <c r="BQ422" s="7"/>
      <c r="BR422" s="7"/>
      <c r="BS422" s="7"/>
      <c r="BT422" s="7"/>
      <c r="BU422" s="7"/>
      <c r="BV422" s="7"/>
      <c r="BW422" s="2"/>
      <c r="BX422" s="8">
        <v>45925</v>
      </c>
      <c r="BY422" s="8"/>
      <c r="BZ422" s="8"/>
      <c r="CA422" s="14">
        <f t="shared" si="48"/>
        <v>2000000</v>
      </c>
      <c r="CB422" s="2" t="str">
        <f t="shared" si="49"/>
        <v>OK</v>
      </c>
      <c r="CC422" s="13">
        <f t="shared" si="50"/>
        <v>0</v>
      </c>
    </row>
    <row r="423" spans="1:81" s="9" customFormat="1" ht="110.1" hidden="1" customHeight="1" x14ac:dyDescent="0.25">
      <c r="A423" s="2" t="s">
        <v>1273</v>
      </c>
      <c r="B423" s="2" t="s">
        <v>424</v>
      </c>
      <c r="C423" s="2" t="s">
        <v>379</v>
      </c>
      <c r="D423" s="12" t="s">
        <v>425</v>
      </c>
      <c r="E423" s="2" t="s">
        <v>426</v>
      </c>
      <c r="F423" s="2" t="s">
        <v>72</v>
      </c>
      <c r="G423" s="2" t="s">
        <v>1668</v>
      </c>
      <c r="H423" s="2" t="s">
        <v>77</v>
      </c>
      <c r="I423" s="2" t="s">
        <v>1618</v>
      </c>
      <c r="J423" s="2" t="s">
        <v>1618</v>
      </c>
      <c r="K423" s="2" t="s">
        <v>384</v>
      </c>
      <c r="L423" s="16">
        <v>4500000</v>
      </c>
      <c r="M423" s="16">
        <v>3500000</v>
      </c>
      <c r="N423" s="2" t="s">
        <v>381</v>
      </c>
      <c r="O423" s="7"/>
      <c r="P423" s="7"/>
      <c r="Q423" s="7"/>
      <c r="R423" s="7">
        <v>3500000</v>
      </c>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c r="BD423" s="7"/>
      <c r="BE423" s="7"/>
      <c r="BF423" s="7"/>
      <c r="BG423" s="7"/>
      <c r="BH423" s="7"/>
      <c r="BI423" s="7"/>
      <c r="BJ423" s="7"/>
      <c r="BK423" s="7"/>
      <c r="BL423" s="7"/>
      <c r="BM423" s="7"/>
      <c r="BN423" s="7"/>
      <c r="BO423" s="7"/>
      <c r="BP423" s="7"/>
      <c r="BQ423" s="7"/>
      <c r="BR423" s="7"/>
      <c r="BS423" s="7"/>
      <c r="BT423" s="7"/>
      <c r="BU423" s="7"/>
      <c r="BV423" s="7"/>
      <c r="BW423" s="2"/>
      <c r="BX423" s="8">
        <v>45951</v>
      </c>
      <c r="BY423" s="8"/>
      <c r="BZ423" s="8"/>
      <c r="CA423" s="14">
        <f t="shared" si="48"/>
        <v>3500000</v>
      </c>
      <c r="CB423" s="2" t="str">
        <f t="shared" si="49"/>
        <v>OK</v>
      </c>
      <c r="CC423" s="13">
        <f t="shared" si="50"/>
        <v>0</v>
      </c>
    </row>
    <row r="424" spans="1:81" s="9" customFormat="1" ht="110.1" hidden="1" customHeight="1" x14ac:dyDescent="0.25">
      <c r="A424" s="2" t="s">
        <v>1281</v>
      </c>
      <c r="B424" s="2" t="s">
        <v>462</v>
      </c>
      <c r="C424" s="2" t="s">
        <v>379</v>
      </c>
      <c r="D424" s="12" t="s">
        <v>463</v>
      </c>
      <c r="E424" s="2" t="s">
        <v>464</v>
      </c>
      <c r="F424" s="2" t="s">
        <v>72</v>
      </c>
      <c r="G424" s="2" t="s">
        <v>1668</v>
      </c>
      <c r="H424" s="2" t="s">
        <v>77</v>
      </c>
      <c r="I424" s="2" t="s">
        <v>1618</v>
      </c>
      <c r="J424" s="2" t="s">
        <v>1618</v>
      </c>
      <c r="K424" s="2" t="s">
        <v>384</v>
      </c>
      <c r="L424" s="16">
        <v>2900000</v>
      </c>
      <c r="M424" s="11">
        <v>2900000</v>
      </c>
      <c r="N424" s="2" t="s">
        <v>381</v>
      </c>
      <c r="O424" s="7"/>
      <c r="P424" s="7"/>
      <c r="Q424" s="7"/>
      <c r="R424" s="7">
        <v>2900000</v>
      </c>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c r="BE424" s="7"/>
      <c r="BF424" s="7"/>
      <c r="BG424" s="7"/>
      <c r="BH424" s="7"/>
      <c r="BI424" s="7"/>
      <c r="BJ424" s="7"/>
      <c r="BK424" s="7"/>
      <c r="BL424" s="7"/>
      <c r="BM424" s="7"/>
      <c r="BN424" s="7"/>
      <c r="BO424" s="7"/>
      <c r="BP424" s="7"/>
      <c r="BQ424" s="7"/>
      <c r="BR424" s="7"/>
      <c r="BS424" s="7"/>
      <c r="BT424" s="7"/>
      <c r="BU424" s="7"/>
      <c r="BV424" s="7"/>
      <c r="BW424" s="2"/>
      <c r="BX424" s="8">
        <v>45958</v>
      </c>
      <c r="BY424" s="8"/>
      <c r="BZ424" s="2" t="s">
        <v>1784</v>
      </c>
      <c r="CA424" s="14">
        <f t="shared" si="48"/>
        <v>2900000</v>
      </c>
      <c r="CB424" s="2" t="str">
        <f t="shared" si="49"/>
        <v>OK</v>
      </c>
      <c r="CC424" s="13">
        <f t="shared" si="50"/>
        <v>0</v>
      </c>
    </row>
    <row r="425" spans="1:81" s="9" customFormat="1" ht="110.1" hidden="1" customHeight="1" x14ac:dyDescent="0.25">
      <c r="A425" s="2" t="s">
        <v>1287</v>
      </c>
      <c r="B425" s="2" t="s">
        <v>468</v>
      </c>
      <c r="C425" s="2" t="s">
        <v>379</v>
      </c>
      <c r="D425" s="12" t="s">
        <v>469</v>
      </c>
      <c r="E425" s="2" t="s">
        <v>470</v>
      </c>
      <c r="F425" s="2" t="s">
        <v>72</v>
      </c>
      <c r="G425" s="2" t="s">
        <v>1668</v>
      </c>
      <c r="H425" s="2" t="s">
        <v>77</v>
      </c>
      <c r="I425" s="2" t="s">
        <v>1618</v>
      </c>
      <c r="J425" s="2" t="s">
        <v>1618</v>
      </c>
      <c r="K425" s="2" t="s">
        <v>384</v>
      </c>
      <c r="L425" s="16">
        <v>2500000</v>
      </c>
      <c r="M425" s="11">
        <v>2500000</v>
      </c>
      <c r="N425" s="2" t="s">
        <v>381</v>
      </c>
      <c r="O425" s="7"/>
      <c r="P425" s="7"/>
      <c r="Q425" s="7"/>
      <c r="R425" s="7">
        <v>2500000</v>
      </c>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c r="BB425" s="7"/>
      <c r="BC425" s="7"/>
      <c r="BD425" s="7"/>
      <c r="BE425" s="7"/>
      <c r="BF425" s="7"/>
      <c r="BG425" s="7"/>
      <c r="BH425" s="7"/>
      <c r="BI425" s="7"/>
      <c r="BJ425" s="7"/>
      <c r="BK425" s="7"/>
      <c r="BL425" s="7"/>
      <c r="BM425" s="7"/>
      <c r="BN425" s="7"/>
      <c r="BO425" s="7"/>
      <c r="BP425" s="7"/>
      <c r="BQ425" s="7"/>
      <c r="BR425" s="7"/>
      <c r="BS425" s="7"/>
      <c r="BT425" s="7"/>
      <c r="BU425" s="7"/>
      <c r="BV425" s="7"/>
      <c r="BW425" s="2"/>
      <c r="BX425" s="8">
        <v>45964</v>
      </c>
      <c r="BY425" s="8"/>
      <c r="BZ425" s="2"/>
      <c r="CA425" s="14">
        <f t="shared" si="48"/>
        <v>2500000</v>
      </c>
      <c r="CB425" s="2" t="str">
        <f t="shared" si="49"/>
        <v>OK</v>
      </c>
      <c r="CC425" s="13">
        <f t="shared" si="50"/>
        <v>0</v>
      </c>
    </row>
    <row r="426" spans="1:81" s="9" customFormat="1" ht="110.1" hidden="1" customHeight="1" x14ac:dyDescent="0.25">
      <c r="A426" s="2" t="s">
        <v>1275</v>
      </c>
      <c r="B426" s="2" t="s">
        <v>439</v>
      </c>
      <c r="C426" s="2" t="s">
        <v>379</v>
      </c>
      <c r="D426" s="12" t="s">
        <v>440</v>
      </c>
      <c r="E426" s="2" t="s">
        <v>438</v>
      </c>
      <c r="F426" s="2" t="s">
        <v>72</v>
      </c>
      <c r="G426" s="2" t="s">
        <v>1668</v>
      </c>
      <c r="H426" s="2" t="s">
        <v>77</v>
      </c>
      <c r="I426" s="2" t="s">
        <v>1618</v>
      </c>
      <c r="J426" s="2" t="s">
        <v>1618</v>
      </c>
      <c r="K426" s="2" t="s">
        <v>384</v>
      </c>
      <c r="L426" s="16">
        <v>4000000</v>
      </c>
      <c r="M426" s="11">
        <v>4000000</v>
      </c>
      <c r="N426" s="2" t="s">
        <v>11</v>
      </c>
      <c r="O426" s="7"/>
      <c r="P426" s="7"/>
      <c r="Q426" s="7"/>
      <c r="R426" s="7"/>
      <c r="S426" s="7"/>
      <c r="T426" s="7"/>
      <c r="U426" s="7">
        <f>M426</f>
        <v>4000000</v>
      </c>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c r="BB426" s="7"/>
      <c r="BC426" s="7"/>
      <c r="BD426" s="7"/>
      <c r="BE426" s="7"/>
      <c r="BF426" s="7"/>
      <c r="BG426" s="7"/>
      <c r="BH426" s="7"/>
      <c r="BI426" s="7"/>
      <c r="BJ426" s="7"/>
      <c r="BK426" s="7"/>
      <c r="BL426" s="7"/>
      <c r="BM426" s="7"/>
      <c r="BN426" s="7"/>
      <c r="BO426" s="7"/>
      <c r="BP426" s="7"/>
      <c r="BQ426" s="7"/>
      <c r="BR426" s="7"/>
      <c r="BS426" s="7"/>
      <c r="BT426" s="7"/>
      <c r="BU426" s="7"/>
      <c r="BV426" s="7"/>
      <c r="BW426" s="2"/>
      <c r="BX426" s="8">
        <v>45971</v>
      </c>
      <c r="BY426" s="8"/>
      <c r="BZ426" s="2"/>
      <c r="CA426" s="14">
        <f t="shared" si="48"/>
        <v>4000000</v>
      </c>
      <c r="CB426" s="2" t="str">
        <f t="shared" si="49"/>
        <v>OK</v>
      </c>
      <c r="CC426" s="13">
        <f t="shared" si="50"/>
        <v>0</v>
      </c>
    </row>
    <row r="427" spans="1:81" s="9" customFormat="1" ht="110.1" hidden="1" customHeight="1" x14ac:dyDescent="0.25">
      <c r="A427" s="2" t="s">
        <v>1276</v>
      </c>
      <c r="B427" s="2" t="s">
        <v>657</v>
      </c>
      <c r="C427" s="2" t="s">
        <v>379</v>
      </c>
      <c r="D427" s="12" t="s">
        <v>658</v>
      </c>
      <c r="E427" s="2" t="s">
        <v>659</v>
      </c>
      <c r="F427" s="2" t="s">
        <v>72</v>
      </c>
      <c r="G427" s="2" t="s">
        <v>1668</v>
      </c>
      <c r="H427" s="2" t="s">
        <v>77</v>
      </c>
      <c r="I427" s="2" t="s">
        <v>1618</v>
      </c>
      <c r="J427" s="2" t="s">
        <v>1618</v>
      </c>
      <c r="K427" s="2" t="s">
        <v>384</v>
      </c>
      <c r="L427" s="16">
        <v>4000000</v>
      </c>
      <c r="M427" s="16">
        <v>3000000</v>
      </c>
      <c r="N427" s="2" t="s">
        <v>381</v>
      </c>
      <c r="O427" s="7"/>
      <c r="P427" s="7"/>
      <c r="Q427" s="7"/>
      <c r="R427" s="30">
        <v>3000000</v>
      </c>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c r="BA427" s="7"/>
      <c r="BB427" s="7"/>
      <c r="BC427" s="7"/>
      <c r="BD427" s="7"/>
      <c r="BE427" s="7"/>
      <c r="BF427" s="7"/>
      <c r="BG427" s="7"/>
      <c r="BH427" s="7"/>
      <c r="BI427" s="7"/>
      <c r="BJ427" s="7"/>
      <c r="BK427" s="7"/>
      <c r="BL427" s="7"/>
      <c r="BM427" s="7"/>
      <c r="BN427" s="7"/>
      <c r="BO427" s="7"/>
      <c r="BP427" s="7"/>
      <c r="BQ427" s="7"/>
      <c r="BR427" s="7"/>
      <c r="BS427" s="7"/>
      <c r="BT427" s="7"/>
      <c r="BU427" s="7"/>
      <c r="BV427" s="7"/>
      <c r="BW427" s="2"/>
      <c r="BX427" s="8">
        <v>46101</v>
      </c>
      <c r="BY427" s="8"/>
      <c r="BZ427" s="8"/>
      <c r="CA427" s="14">
        <f t="shared" si="48"/>
        <v>3000000</v>
      </c>
      <c r="CB427" s="2" t="str">
        <f t="shared" si="49"/>
        <v>OK</v>
      </c>
      <c r="CC427" s="13">
        <f t="shared" si="50"/>
        <v>0</v>
      </c>
    </row>
    <row r="428" spans="1:81" s="9" customFormat="1" ht="120" hidden="1" customHeight="1" x14ac:dyDescent="0.25">
      <c r="A428" s="2" t="s">
        <v>1259</v>
      </c>
      <c r="B428" s="2" t="s">
        <v>654</v>
      </c>
      <c r="C428" s="2" t="s">
        <v>379</v>
      </c>
      <c r="D428" s="12" t="s">
        <v>655</v>
      </c>
      <c r="E428" s="2" t="s">
        <v>656</v>
      </c>
      <c r="F428" s="2" t="s">
        <v>72</v>
      </c>
      <c r="G428" s="2" t="s">
        <v>1668</v>
      </c>
      <c r="H428" s="2" t="s">
        <v>77</v>
      </c>
      <c r="I428" s="2" t="s">
        <v>1618</v>
      </c>
      <c r="J428" s="2" t="s">
        <v>1618</v>
      </c>
      <c r="K428" s="2" t="s">
        <v>384</v>
      </c>
      <c r="L428" s="16">
        <v>10000000</v>
      </c>
      <c r="M428" s="16">
        <v>3000000</v>
      </c>
      <c r="N428" s="2" t="s">
        <v>381</v>
      </c>
      <c r="O428" s="7"/>
      <c r="P428" s="7"/>
      <c r="Q428" s="7"/>
      <c r="R428" s="7">
        <v>3000000</v>
      </c>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c r="BB428" s="7"/>
      <c r="BC428" s="7"/>
      <c r="BD428" s="7"/>
      <c r="BE428" s="7"/>
      <c r="BF428" s="7"/>
      <c r="BG428" s="7"/>
      <c r="BH428" s="7"/>
      <c r="BI428" s="7"/>
      <c r="BJ428" s="7"/>
      <c r="BK428" s="7"/>
      <c r="BL428" s="7"/>
      <c r="BM428" s="7"/>
      <c r="BN428" s="7"/>
      <c r="BO428" s="7"/>
      <c r="BP428" s="7"/>
      <c r="BQ428" s="7"/>
      <c r="BR428" s="7"/>
      <c r="BS428" s="7"/>
      <c r="BT428" s="7"/>
      <c r="BU428" s="7"/>
      <c r="BV428" s="7"/>
      <c r="BW428" s="2"/>
      <c r="BX428" s="8">
        <v>46136</v>
      </c>
      <c r="BY428" s="8"/>
      <c r="BZ428" s="8"/>
      <c r="CA428" s="14">
        <f t="shared" si="48"/>
        <v>3000000</v>
      </c>
      <c r="CB428" s="2" t="str">
        <f t="shared" si="49"/>
        <v>OK</v>
      </c>
      <c r="CC428" s="13">
        <f t="shared" si="50"/>
        <v>0</v>
      </c>
    </row>
    <row r="429" spans="1:81" s="9" customFormat="1" ht="96.75" hidden="1" customHeight="1" x14ac:dyDescent="0.25">
      <c r="A429" s="2" t="s">
        <v>1271</v>
      </c>
      <c r="B429" s="2" t="s">
        <v>404</v>
      </c>
      <c r="C429" s="2" t="s">
        <v>379</v>
      </c>
      <c r="D429" s="12" t="s">
        <v>405</v>
      </c>
      <c r="E429" s="2" t="s">
        <v>406</v>
      </c>
      <c r="F429" s="2" t="s">
        <v>72</v>
      </c>
      <c r="G429" s="2" t="s">
        <v>1668</v>
      </c>
      <c r="H429" s="2" t="s">
        <v>77</v>
      </c>
      <c r="I429" s="2" t="s">
        <v>1618</v>
      </c>
      <c r="J429" s="2" t="s">
        <v>1618</v>
      </c>
      <c r="K429" s="2" t="s">
        <v>384</v>
      </c>
      <c r="L429" s="16">
        <v>5500000</v>
      </c>
      <c r="M429" s="16">
        <v>3000000</v>
      </c>
      <c r="N429" s="2" t="s">
        <v>381</v>
      </c>
      <c r="O429" s="7"/>
      <c r="P429" s="7"/>
      <c r="Q429" s="7"/>
      <c r="R429" s="7">
        <v>3000000</v>
      </c>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c r="BB429" s="7"/>
      <c r="BC429" s="7"/>
      <c r="BD429" s="7"/>
      <c r="BE429" s="7"/>
      <c r="BF429" s="7"/>
      <c r="BG429" s="7"/>
      <c r="BH429" s="7"/>
      <c r="BI429" s="7"/>
      <c r="BJ429" s="7"/>
      <c r="BK429" s="7"/>
      <c r="BL429" s="7"/>
      <c r="BM429" s="7"/>
      <c r="BN429" s="7"/>
      <c r="BO429" s="7"/>
      <c r="BP429" s="7"/>
      <c r="BQ429" s="7"/>
      <c r="BR429" s="7"/>
      <c r="BS429" s="7"/>
      <c r="BT429" s="7"/>
      <c r="BU429" s="7"/>
      <c r="BV429" s="7"/>
      <c r="BW429" s="2"/>
      <c r="BX429" s="8">
        <v>46195</v>
      </c>
      <c r="BY429" s="8"/>
      <c r="BZ429" s="8"/>
      <c r="CA429" s="14">
        <f t="shared" si="48"/>
        <v>3000000</v>
      </c>
      <c r="CB429" s="2" t="str">
        <f t="shared" si="49"/>
        <v>OK</v>
      </c>
      <c r="CC429" s="13">
        <f t="shared" si="50"/>
        <v>0</v>
      </c>
    </row>
    <row r="430" spans="1:81" s="9" customFormat="1" ht="110.1" hidden="1" customHeight="1" x14ac:dyDescent="0.25">
      <c r="A430" s="2" t="s">
        <v>1265</v>
      </c>
      <c r="B430" s="2" t="s">
        <v>666</v>
      </c>
      <c r="C430" s="2" t="s">
        <v>379</v>
      </c>
      <c r="D430" s="12" t="s">
        <v>667</v>
      </c>
      <c r="E430" s="2" t="s">
        <v>668</v>
      </c>
      <c r="F430" s="2" t="s">
        <v>72</v>
      </c>
      <c r="G430" s="2" t="s">
        <v>1668</v>
      </c>
      <c r="H430" s="2" t="s">
        <v>77</v>
      </c>
      <c r="I430" s="2" t="s">
        <v>1618</v>
      </c>
      <c r="J430" s="2" t="s">
        <v>1618</v>
      </c>
      <c r="K430" s="2" t="s">
        <v>384</v>
      </c>
      <c r="L430" s="16">
        <v>7000000</v>
      </c>
      <c r="M430" s="16">
        <v>3000000</v>
      </c>
      <c r="N430" s="2" t="s">
        <v>381</v>
      </c>
      <c r="O430" s="7"/>
      <c r="P430" s="7"/>
      <c r="Q430" s="7"/>
      <c r="R430" s="7">
        <v>3000000</v>
      </c>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c r="BE430" s="7"/>
      <c r="BF430" s="7"/>
      <c r="BG430" s="7"/>
      <c r="BH430" s="7"/>
      <c r="BI430" s="7"/>
      <c r="BJ430" s="7"/>
      <c r="BK430" s="7"/>
      <c r="BL430" s="7"/>
      <c r="BM430" s="7"/>
      <c r="BN430" s="7"/>
      <c r="BO430" s="7"/>
      <c r="BP430" s="7"/>
      <c r="BQ430" s="7"/>
      <c r="BR430" s="7"/>
      <c r="BS430" s="7"/>
      <c r="BT430" s="7"/>
      <c r="BU430" s="7"/>
      <c r="BV430" s="7"/>
      <c r="BW430" s="2"/>
      <c r="BX430" s="8">
        <v>46201</v>
      </c>
      <c r="BY430" s="8"/>
      <c r="BZ430" s="2"/>
      <c r="CA430" s="14">
        <f t="shared" si="48"/>
        <v>3000000</v>
      </c>
      <c r="CB430" s="2" t="str">
        <f t="shared" si="49"/>
        <v>OK</v>
      </c>
      <c r="CC430" s="13">
        <f t="shared" si="50"/>
        <v>0</v>
      </c>
    </row>
    <row r="431" spans="1:81" s="9" customFormat="1" ht="110.1" hidden="1" customHeight="1" x14ac:dyDescent="0.25">
      <c r="A431" s="2" t="s">
        <v>1264</v>
      </c>
      <c r="B431" s="2" t="s">
        <v>400</v>
      </c>
      <c r="C431" s="2" t="s">
        <v>379</v>
      </c>
      <c r="D431" s="12" t="s">
        <v>401</v>
      </c>
      <c r="E431" s="2" t="s">
        <v>402</v>
      </c>
      <c r="F431" s="2" t="s">
        <v>72</v>
      </c>
      <c r="G431" s="2" t="s">
        <v>1668</v>
      </c>
      <c r="H431" s="2" t="s">
        <v>77</v>
      </c>
      <c r="I431" s="2" t="s">
        <v>1618</v>
      </c>
      <c r="J431" s="2" t="s">
        <v>1618</v>
      </c>
      <c r="K431" s="2" t="s">
        <v>384</v>
      </c>
      <c r="L431" s="16">
        <v>8000000</v>
      </c>
      <c r="M431" s="16">
        <v>6000000</v>
      </c>
      <c r="N431" s="2" t="s">
        <v>403</v>
      </c>
      <c r="O431" s="7"/>
      <c r="P431" s="7"/>
      <c r="Q431" s="7"/>
      <c r="R431" s="7">
        <v>6000000</v>
      </c>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c r="BB431" s="7"/>
      <c r="BC431" s="7"/>
      <c r="BD431" s="7"/>
      <c r="BE431" s="7"/>
      <c r="BF431" s="7"/>
      <c r="BG431" s="7"/>
      <c r="BH431" s="7"/>
      <c r="BI431" s="7"/>
      <c r="BJ431" s="7"/>
      <c r="BK431" s="7"/>
      <c r="BL431" s="7"/>
      <c r="BM431" s="7"/>
      <c r="BN431" s="7"/>
      <c r="BO431" s="7"/>
      <c r="BP431" s="7"/>
      <c r="BQ431" s="7"/>
      <c r="BR431" s="7"/>
      <c r="BS431" s="7"/>
      <c r="BT431" s="7"/>
      <c r="BU431" s="7"/>
      <c r="BV431" s="7"/>
      <c r="BW431" s="2"/>
      <c r="BX431" s="8">
        <v>46210</v>
      </c>
      <c r="BY431" s="8"/>
      <c r="BZ431" s="8"/>
      <c r="CA431" s="14">
        <f t="shared" si="48"/>
        <v>6000000</v>
      </c>
      <c r="CB431" s="2" t="str">
        <f t="shared" si="49"/>
        <v>OK</v>
      </c>
      <c r="CC431" s="13">
        <f t="shared" si="50"/>
        <v>0</v>
      </c>
    </row>
    <row r="432" spans="1:81" s="9" customFormat="1" ht="110.1" hidden="1" customHeight="1" x14ac:dyDescent="0.25">
      <c r="A432" s="2" t="s">
        <v>1262</v>
      </c>
      <c r="B432" s="2" t="s">
        <v>481</v>
      </c>
      <c r="C432" s="2" t="s">
        <v>379</v>
      </c>
      <c r="D432" s="12" t="s">
        <v>482</v>
      </c>
      <c r="E432" s="2" t="s">
        <v>483</v>
      </c>
      <c r="F432" s="2" t="s">
        <v>72</v>
      </c>
      <c r="G432" s="2" t="s">
        <v>1668</v>
      </c>
      <c r="H432" s="2" t="s">
        <v>77</v>
      </c>
      <c r="I432" s="2" t="s">
        <v>1618</v>
      </c>
      <c r="J432" s="2" t="s">
        <v>1618</v>
      </c>
      <c r="K432" s="2" t="s">
        <v>384</v>
      </c>
      <c r="L432" s="16">
        <v>8200000</v>
      </c>
      <c r="M432" s="16">
        <v>4000000</v>
      </c>
      <c r="N432" s="2" t="s">
        <v>381</v>
      </c>
      <c r="O432" s="7"/>
      <c r="P432" s="7"/>
      <c r="Q432" s="7"/>
      <c r="R432" s="7">
        <v>4000000</v>
      </c>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c r="BA432" s="7"/>
      <c r="BB432" s="7"/>
      <c r="BC432" s="7"/>
      <c r="BD432" s="7"/>
      <c r="BE432" s="7"/>
      <c r="BF432" s="7"/>
      <c r="BG432" s="7"/>
      <c r="BH432" s="7"/>
      <c r="BI432" s="7"/>
      <c r="BJ432" s="7"/>
      <c r="BK432" s="7"/>
      <c r="BL432" s="7"/>
      <c r="BM432" s="7"/>
      <c r="BN432" s="7"/>
      <c r="BO432" s="7"/>
      <c r="BP432" s="7"/>
      <c r="BQ432" s="7"/>
      <c r="BR432" s="7"/>
      <c r="BS432" s="7"/>
      <c r="BT432" s="7"/>
      <c r="BU432" s="7"/>
      <c r="BV432" s="7"/>
      <c r="BW432" s="2"/>
      <c r="BX432" s="8">
        <v>46325</v>
      </c>
      <c r="BY432" s="8"/>
      <c r="BZ432" s="8"/>
      <c r="CA432" s="14">
        <f t="shared" si="48"/>
        <v>4000000</v>
      </c>
      <c r="CB432" s="2" t="str">
        <f t="shared" si="49"/>
        <v>OK</v>
      </c>
      <c r="CC432" s="13">
        <f t="shared" si="50"/>
        <v>0</v>
      </c>
    </row>
    <row r="433" spans="1:81" s="9" customFormat="1" ht="80.25" hidden="1" customHeight="1" x14ac:dyDescent="0.25">
      <c r="A433" s="2" t="s">
        <v>1269</v>
      </c>
      <c r="B433" s="2" t="s">
        <v>474</v>
      </c>
      <c r="C433" s="2" t="s">
        <v>379</v>
      </c>
      <c r="D433" s="12" t="s">
        <v>475</v>
      </c>
      <c r="E433" s="2" t="s">
        <v>476</v>
      </c>
      <c r="F433" s="2" t="s">
        <v>72</v>
      </c>
      <c r="G433" s="2" t="s">
        <v>1668</v>
      </c>
      <c r="H433" s="2" t="s">
        <v>77</v>
      </c>
      <c r="I433" s="2" t="s">
        <v>1618</v>
      </c>
      <c r="J433" s="2" t="s">
        <v>1618</v>
      </c>
      <c r="K433" s="2" t="s">
        <v>384</v>
      </c>
      <c r="L433" s="16">
        <v>12000000</v>
      </c>
      <c r="M433" s="11">
        <v>6000000</v>
      </c>
      <c r="N433" s="2" t="s">
        <v>381</v>
      </c>
      <c r="O433" s="7"/>
      <c r="P433" s="7"/>
      <c r="Q433" s="7"/>
      <c r="R433" s="7">
        <v>6000000</v>
      </c>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c r="BB433" s="7"/>
      <c r="BC433" s="7"/>
      <c r="BD433" s="7"/>
      <c r="BE433" s="7"/>
      <c r="BF433" s="7"/>
      <c r="BG433" s="7"/>
      <c r="BH433" s="7"/>
      <c r="BI433" s="7"/>
      <c r="BJ433" s="7"/>
      <c r="BK433" s="7"/>
      <c r="BL433" s="7"/>
      <c r="BM433" s="7"/>
      <c r="BN433" s="7"/>
      <c r="BO433" s="7"/>
      <c r="BP433" s="7"/>
      <c r="BQ433" s="7"/>
      <c r="BR433" s="7"/>
      <c r="BS433" s="7"/>
      <c r="BT433" s="7"/>
      <c r="BU433" s="7"/>
      <c r="BV433" s="7"/>
      <c r="BW433" s="2"/>
      <c r="BX433" s="8">
        <v>46374</v>
      </c>
      <c r="BY433" s="8"/>
      <c r="BZ433" s="8"/>
      <c r="CA433" s="14">
        <f t="shared" si="48"/>
        <v>6000000</v>
      </c>
      <c r="CB433" s="2" t="str">
        <f t="shared" si="49"/>
        <v>OK</v>
      </c>
      <c r="CC433" s="13">
        <f t="shared" si="50"/>
        <v>0</v>
      </c>
    </row>
    <row r="434" spans="1:81" s="9" customFormat="1" ht="110.1" hidden="1" customHeight="1" x14ac:dyDescent="0.25">
      <c r="A434" s="2" t="s">
        <v>1267</v>
      </c>
      <c r="B434" s="2" t="s">
        <v>427</v>
      </c>
      <c r="C434" s="2" t="s">
        <v>379</v>
      </c>
      <c r="D434" s="12" t="s">
        <v>428</v>
      </c>
      <c r="E434" s="2" t="s">
        <v>429</v>
      </c>
      <c r="F434" s="2" t="s">
        <v>72</v>
      </c>
      <c r="G434" s="2" t="s">
        <v>1668</v>
      </c>
      <c r="H434" s="2" t="s">
        <v>77</v>
      </c>
      <c r="I434" s="2" t="s">
        <v>1618</v>
      </c>
      <c r="J434" s="2" t="s">
        <v>1618</v>
      </c>
      <c r="K434" s="2" t="s">
        <v>384</v>
      </c>
      <c r="L434" s="16">
        <v>14000000</v>
      </c>
      <c r="M434" s="16">
        <v>4000000</v>
      </c>
      <c r="N434" s="2" t="s">
        <v>381</v>
      </c>
      <c r="O434" s="7"/>
      <c r="P434" s="7"/>
      <c r="Q434" s="7"/>
      <c r="R434" s="7">
        <v>4000000</v>
      </c>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c r="BB434" s="7"/>
      <c r="BC434" s="7"/>
      <c r="BD434" s="7"/>
      <c r="BE434" s="7"/>
      <c r="BF434" s="7"/>
      <c r="BG434" s="7"/>
      <c r="BH434" s="7"/>
      <c r="BI434" s="7"/>
      <c r="BJ434" s="7"/>
      <c r="BK434" s="7"/>
      <c r="BL434" s="7"/>
      <c r="BM434" s="7"/>
      <c r="BN434" s="7"/>
      <c r="BO434" s="7"/>
      <c r="BP434" s="7"/>
      <c r="BQ434" s="7"/>
      <c r="BR434" s="7"/>
      <c r="BS434" s="7"/>
      <c r="BT434" s="7"/>
      <c r="BU434" s="7"/>
      <c r="BV434" s="7"/>
      <c r="BW434" s="2"/>
      <c r="BX434" s="8">
        <v>46533</v>
      </c>
      <c r="BY434" s="8"/>
      <c r="BZ434" s="8"/>
      <c r="CA434" s="14">
        <f t="shared" si="48"/>
        <v>4000000</v>
      </c>
      <c r="CB434" s="2" t="str">
        <f t="shared" si="49"/>
        <v>OK</v>
      </c>
      <c r="CC434" s="13">
        <f t="shared" si="50"/>
        <v>0</v>
      </c>
    </row>
    <row r="435" spans="1:81" s="9" customFormat="1" ht="110.1" hidden="1" customHeight="1" x14ac:dyDescent="0.25">
      <c r="A435" s="2" t="s">
        <v>1612</v>
      </c>
      <c r="B435" s="2" t="s">
        <v>1119</v>
      </c>
      <c r="C435" s="2" t="s">
        <v>1136</v>
      </c>
      <c r="D435" s="34" t="s">
        <v>1626</v>
      </c>
      <c r="E435" s="2" t="s">
        <v>1627</v>
      </c>
      <c r="F435" s="2" t="s">
        <v>65</v>
      </c>
      <c r="G435" s="2" t="s">
        <v>2048</v>
      </c>
      <c r="H435" s="2" t="s">
        <v>77</v>
      </c>
      <c r="I435" s="2" t="s">
        <v>686</v>
      </c>
      <c r="J435" s="2" t="s">
        <v>1618</v>
      </c>
      <c r="K435" s="2" t="s">
        <v>67</v>
      </c>
      <c r="L435" s="7">
        <v>337960.58</v>
      </c>
      <c r="M435" s="7">
        <v>337960.58</v>
      </c>
      <c r="N435" s="2" t="s">
        <v>14</v>
      </c>
      <c r="O435" s="7"/>
      <c r="P435" s="7"/>
      <c r="Q435" s="7"/>
      <c r="R435" s="7"/>
      <c r="S435" s="7"/>
      <c r="T435" s="7"/>
      <c r="U435" s="7"/>
      <c r="V435" s="7"/>
      <c r="W435" s="7"/>
      <c r="X435" s="7"/>
      <c r="Y435" s="7"/>
      <c r="Z435" s="7"/>
      <c r="AA435" s="7">
        <v>337960.58</v>
      </c>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c r="BB435" s="7"/>
      <c r="BC435" s="7"/>
      <c r="BD435" s="7"/>
      <c r="BE435" s="7"/>
      <c r="BF435" s="7"/>
      <c r="BG435" s="7"/>
      <c r="BH435" s="7"/>
      <c r="BI435" s="7"/>
      <c r="BJ435" s="7"/>
      <c r="BK435" s="7"/>
      <c r="BL435" s="7"/>
      <c r="BM435" s="7"/>
      <c r="BN435" s="7"/>
      <c r="BO435" s="7"/>
      <c r="BP435" s="7"/>
      <c r="BQ435" s="7"/>
      <c r="BR435" s="7"/>
      <c r="BS435" s="7"/>
      <c r="BT435" s="7"/>
      <c r="BU435" s="7"/>
      <c r="BV435" s="7"/>
      <c r="BW435" s="2"/>
      <c r="BX435" s="8">
        <v>45446</v>
      </c>
      <c r="BY435" s="2"/>
      <c r="BZ435" s="8"/>
      <c r="CA435" s="14">
        <f t="shared" si="48"/>
        <v>337960.58</v>
      </c>
      <c r="CB435" s="2" t="str">
        <f t="shared" si="49"/>
        <v>OK</v>
      </c>
      <c r="CC435" s="13">
        <f t="shared" si="50"/>
        <v>0</v>
      </c>
    </row>
    <row r="436" spans="1:81" s="9" customFormat="1" ht="110.1" hidden="1" customHeight="1" x14ac:dyDescent="0.25">
      <c r="A436" s="2" t="s">
        <v>1257</v>
      </c>
      <c r="B436" s="38" t="s">
        <v>602</v>
      </c>
      <c r="C436" s="2" t="s">
        <v>379</v>
      </c>
      <c r="D436" s="12" t="s">
        <v>603</v>
      </c>
      <c r="E436" s="2"/>
      <c r="F436" s="2" t="s">
        <v>72</v>
      </c>
      <c r="G436" s="2" t="s">
        <v>1669</v>
      </c>
      <c r="H436" s="2" t="s">
        <v>77</v>
      </c>
      <c r="I436" s="2" t="s">
        <v>686</v>
      </c>
      <c r="J436" s="2" t="s">
        <v>1618</v>
      </c>
      <c r="K436" s="2" t="s">
        <v>384</v>
      </c>
      <c r="L436" s="22">
        <v>49221669.719999999</v>
      </c>
      <c r="M436" s="22">
        <v>9000000</v>
      </c>
      <c r="N436" s="2" t="s">
        <v>392</v>
      </c>
      <c r="O436" s="7"/>
      <c r="P436" s="7"/>
      <c r="Q436" s="7"/>
      <c r="R436" s="7">
        <v>9000000</v>
      </c>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c r="BA436" s="7"/>
      <c r="BB436" s="7"/>
      <c r="BC436" s="7"/>
      <c r="BD436" s="7"/>
      <c r="BE436" s="7"/>
      <c r="BF436" s="7"/>
      <c r="BG436" s="7"/>
      <c r="BH436" s="7"/>
      <c r="BI436" s="7"/>
      <c r="BJ436" s="7"/>
      <c r="BK436" s="7"/>
      <c r="BL436" s="7"/>
      <c r="BM436" s="7"/>
      <c r="BN436" s="7"/>
      <c r="BO436" s="7"/>
      <c r="BP436" s="7"/>
      <c r="BQ436" s="7"/>
      <c r="BR436" s="7"/>
      <c r="BS436" s="7"/>
      <c r="BT436" s="7"/>
      <c r="BU436" s="7"/>
      <c r="BV436" s="7"/>
      <c r="BW436" s="8">
        <v>46667</v>
      </c>
      <c r="BX436" s="2"/>
      <c r="BY436" s="2" t="s">
        <v>1747</v>
      </c>
      <c r="BZ436" s="8"/>
      <c r="CA436" s="14">
        <f t="shared" si="48"/>
        <v>9000000</v>
      </c>
      <c r="CB436" s="2" t="str">
        <f t="shared" si="49"/>
        <v>OK</v>
      </c>
      <c r="CC436" s="13">
        <f t="shared" si="50"/>
        <v>0</v>
      </c>
    </row>
    <row r="437" spans="1:81" s="9" customFormat="1" ht="110.1" hidden="1" customHeight="1" x14ac:dyDescent="0.25">
      <c r="A437" s="2" t="s">
        <v>1373</v>
      </c>
      <c r="B437" s="2" t="s">
        <v>620</v>
      </c>
      <c r="C437" s="2" t="s">
        <v>379</v>
      </c>
      <c r="D437" s="12" t="s">
        <v>621</v>
      </c>
      <c r="E437" s="2" t="s">
        <v>622</v>
      </c>
      <c r="F437" s="2" t="s">
        <v>72</v>
      </c>
      <c r="G437" s="2" t="s">
        <v>1669</v>
      </c>
      <c r="H437" s="2" t="s">
        <v>77</v>
      </c>
      <c r="I437" s="2" t="s">
        <v>1618</v>
      </c>
      <c r="J437" s="2" t="s">
        <v>1618</v>
      </c>
      <c r="K437" s="2" t="s">
        <v>384</v>
      </c>
      <c r="L437" s="16">
        <v>61807</v>
      </c>
      <c r="M437" s="11">
        <v>61807</v>
      </c>
      <c r="N437" s="2" t="s">
        <v>381</v>
      </c>
      <c r="O437" s="7"/>
      <c r="P437" s="7"/>
      <c r="Q437" s="7"/>
      <c r="R437" s="7">
        <v>61807</v>
      </c>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c r="BA437" s="7"/>
      <c r="BB437" s="7"/>
      <c r="BC437" s="7"/>
      <c r="BD437" s="7"/>
      <c r="BE437" s="7"/>
      <c r="BF437" s="7"/>
      <c r="BG437" s="7"/>
      <c r="BH437" s="7"/>
      <c r="BI437" s="7"/>
      <c r="BJ437" s="7"/>
      <c r="BK437" s="7"/>
      <c r="BL437" s="7"/>
      <c r="BM437" s="7"/>
      <c r="BN437" s="7"/>
      <c r="BO437" s="7"/>
      <c r="BP437" s="7"/>
      <c r="BQ437" s="7"/>
      <c r="BR437" s="7"/>
      <c r="BS437" s="7"/>
      <c r="BT437" s="7"/>
      <c r="BU437" s="7"/>
      <c r="BV437" s="7"/>
      <c r="BW437" s="2"/>
      <c r="BX437" s="8">
        <v>45659</v>
      </c>
      <c r="BY437" s="8"/>
      <c r="BZ437" s="8"/>
      <c r="CA437" s="14">
        <f t="shared" ref="CA437:CA468" si="51">SUM(O437:BV437)</f>
        <v>61807</v>
      </c>
      <c r="CB437" s="2" t="str">
        <f t="shared" ref="CB437:CB468" si="52">IF(M437=CA437,"OK","CORRIGIR")</f>
        <v>OK</v>
      </c>
      <c r="CC437" s="13">
        <f t="shared" ref="CC437:CC468" si="53">M437-CA437</f>
        <v>0</v>
      </c>
    </row>
    <row r="438" spans="1:81" s="9" customFormat="1" ht="110.1" hidden="1" customHeight="1" x14ac:dyDescent="0.25">
      <c r="A438" s="2" t="s">
        <v>1594</v>
      </c>
      <c r="B438" s="2" t="s">
        <v>597</v>
      </c>
      <c r="C438" s="2" t="s">
        <v>379</v>
      </c>
      <c r="D438" s="12" t="s">
        <v>598</v>
      </c>
      <c r="E438" s="2" t="s">
        <v>599</v>
      </c>
      <c r="F438" s="2" t="s">
        <v>72</v>
      </c>
      <c r="G438" s="2" t="s">
        <v>1669</v>
      </c>
      <c r="H438" s="2" t="s">
        <v>77</v>
      </c>
      <c r="I438" s="2" t="s">
        <v>1618</v>
      </c>
      <c r="J438" s="2" t="s">
        <v>1618</v>
      </c>
      <c r="K438" s="2" t="s">
        <v>384</v>
      </c>
      <c r="L438" s="16">
        <v>344803.95</v>
      </c>
      <c r="M438" s="11">
        <v>25000</v>
      </c>
      <c r="N438" s="2" t="s">
        <v>381</v>
      </c>
      <c r="O438" s="7"/>
      <c r="P438" s="7"/>
      <c r="Q438" s="7"/>
      <c r="R438" s="7">
        <v>25000</v>
      </c>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c r="BF438" s="7"/>
      <c r="BG438" s="7"/>
      <c r="BH438" s="7"/>
      <c r="BI438" s="7"/>
      <c r="BJ438" s="7"/>
      <c r="BK438" s="7"/>
      <c r="BL438" s="7"/>
      <c r="BM438" s="7"/>
      <c r="BN438" s="7"/>
      <c r="BO438" s="7"/>
      <c r="BP438" s="7"/>
      <c r="BQ438" s="7"/>
      <c r="BR438" s="7"/>
      <c r="BS438" s="7"/>
      <c r="BT438" s="7"/>
      <c r="BU438" s="7"/>
      <c r="BV438" s="7"/>
      <c r="BW438" s="2"/>
      <c r="BX438" s="8">
        <v>45805</v>
      </c>
      <c r="BY438" s="8"/>
      <c r="BZ438" s="8"/>
      <c r="CA438" s="14">
        <f t="shared" si="51"/>
        <v>25000</v>
      </c>
      <c r="CB438" s="2" t="str">
        <f t="shared" si="52"/>
        <v>OK</v>
      </c>
      <c r="CC438" s="13">
        <f t="shared" si="53"/>
        <v>0</v>
      </c>
    </row>
    <row r="439" spans="1:81" s="9" customFormat="1" ht="110.1" hidden="1" customHeight="1" x14ac:dyDescent="0.25">
      <c r="A439" s="2" t="s">
        <v>1261</v>
      </c>
      <c r="B439" s="2" t="s">
        <v>633</v>
      </c>
      <c r="C439" s="2" t="s">
        <v>379</v>
      </c>
      <c r="D439" s="12" t="s">
        <v>634</v>
      </c>
      <c r="E439" s="2" t="s">
        <v>635</v>
      </c>
      <c r="F439" s="2" t="s">
        <v>72</v>
      </c>
      <c r="G439" s="2" t="s">
        <v>1669</v>
      </c>
      <c r="H439" s="2" t="s">
        <v>77</v>
      </c>
      <c r="I439" s="2" t="s">
        <v>1618</v>
      </c>
      <c r="J439" s="2" t="s">
        <v>1618</v>
      </c>
      <c r="K439" s="2" t="s">
        <v>384</v>
      </c>
      <c r="L439" s="16">
        <v>30192563.469999999</v>
      </c>
      <c r="M439" s="16">
        <v>6000000</v>
      </c>
      <c r="N439" s="2" t="s">
        <v>381</v>
      </c>
      <c r="O439" s="7"/>
      <c r="P439" s="7"/>
      <c r="Q439" s="7"/>
      <c r="R439" s="7">
        <v>6000000</v>
      </c>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7"/>
      <c r="BC439" s="7"/>
      <c r="BD439" s="7"/>
      <c r="BE439" s="7"/>
      <c r="BF439" s="7"/>
      <c r="BG439" s="7"/>
      <c r="BH439" s="7"/>
      <c r="BI439" s="7"/>
      <c r="BJ439" s="7"/>
      <c r="BK439" s="7"/>
      <c r="BL439" s="7"/>
      <c r="BM439" s="7"/>
      <c r="BN439" s="7"/>
      <c r="BO439" s="7"/>
      <c r="BP439" s="7"/>
      <c r="BQ439" s="7"/>
      <c r="BR439" s="7"/>
      <c r="BS439" s="7"/>
      <c r="BT439" s="7"/>
      <c r="BU439" s="7"/>
      <c r="BV439" s="7"/>
      <c r="BW439" s="2"/>
      <c r="BX439" s="8">
        <v>46520</v>
      </c>
      <c r="BY439" s="8"/>
      <c r="BZ439" s="8"/>
      <c r="CA439" s="14">
        <f t="shared" si="51"/>
        <v>6000000</v>
      </c>
      <c r="CB439" s="2" t="str">
        <f t="shared" si="52"/>
        <v>OK</v>
      </c>
      <c r="CC439" s="13">
        <f t="shared" si="53"/>
        <v>0</v>
      </c>
    </row>
    <row r="440" spans="1:81" s="9" customFormat="1" ht="110.1" hidden="1" customHeight="1" x14ac:dyDescent="0.25">
      <c r="A440" s="2" t="s">
        <v>1154</v>
      </c>
      <c r="B440" s="2" t="s">
        <v>73</v>
      </c>
      <c r="C440" s="2" t="s">
        <v>74</v>
      </c>
      <c r="D440" s="12" t="s">
        <v>75</v>
      </c>
      <c r="E440" s="2" t="s">
        <v>76</v>
      </c>
      <c r="F440" s="2" t="s">
        <v>65</v>
      </c>
      <c r="G440" s="2" t="s">
        <v>2035</v>
      </c>
      <c r="H440" s="2" t="s">
        <v>77</v>
      </c>
      <c r="I440" s="2" t="s">
        <v>78</v>
      </c>
      <c r="J440" s="2" t="s">
        <v>79</v>
      </c>
      <c r="K440" s="2" t="s">
        <v>67</v>
      </c>
      <c r="L440" s="16">
        <v>476483.7</v>
      </c>
      <c r="M440" s="11">
        <v>311520</v>
      </c>
      <c r="N440" s="2" t="s">
        <v>39</v>
      </c>
      <c r="O440" s="7">
        <v>0</v>
      </c>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c r="BB440" s="7"/>
      <c r="BC440" s="7"/>
      <c r="BD440" s="7"/>
      <c r="BE440" s="7"/>
      <c r="BF440" s="7"/>
      <c r="BG440" s="7"/>
      <c r="BH440" s="7"/>
      <c r="BI440" s="7"/>
      <c r="BJ440" s="7"/>
      <c r="BK440" s="7"/>
      <c r="BL440" s="7"/>
      <c r="BM440" s="7"/>
      <c r="BN440" s="7"/>
      <c r="BO440" s="7"/>
      <c r="BP440" s="7"/>
      <c r="BQ440" s="7"/>
      <c r="BR440" s="7"/>
      <c r="BS440" s="7">
        <v>311520</v>
      </c>
      <c r="BT440" s="7"/>
      <c r="BU440" s="7"/>
      <c r="BV440" s="7"/>
      <c r="BW440" s="2"/>
      <c r="BX440" s="8">
        <v>45779</v>
      </c>
      <c r="BY440" s="8"/>
      <c r="BZ440" s="2"/>
      <c r="CA440" s="14">
        <f t="shared" si="51"/>
        <v>311520</v>
      </c>
      <c r="CB440" s="2" t="str">
        <f t="shared" si="52"/>
        <v>OK</v>
      </c>
      <c r="CC440" s="13">
        <f t="shared" si="53"/>
        <v>0</v>
      </c>
    </row>
    <row r="441" spans="1:81" s="9" customFormat="1" ht="110.1" hidden="1" customHeight="1" x14ac:dyDescent="0.25">
      <c r="A441" s="2" t="s">
        <v>1155</v>
      </c>
      <c r="B441" s="2" t="s">
        <v>80</v>
      </c>
      <c r="C441" s="2" t="s">
        <v>74</v>
      </c>
      <c r="D441" s="12" t="s">
        <v>81</v>
      </c>
      <c r="E441" s="2" t="s">
        <v>82</v>
      </c>
      <c r="F441" s="2" t="s">
        <v>65</v>
      </c>
      <c r="G441" s="2" t="s">
        <v>2035</v>
      </c>
      <c r="H441" s="2" t="s">
        <v>77</v>
      </c>
      <c r="I441" s="2" t="s">
        <v>78</v>
      </c>
      <c r="J441" s="2" t="s">
        <v>83</v>
      </c>
      <c r="K441" s="2" t="s">
        <v>67</v>
      </c>
      <c r="L441" s="16">
        <v>303216.90000000002</v>
      </c>
      <c r="M441" s="11">
        <v>198240</v>
      </c>
      <c r="N441" s="2" t="s">
        <v>39</v>
      </c>
      <c r="O441" s="7">
        <v>0</v>
      </c>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7"/>
      <c r="BC441" s="7"/>
      <c r="BD441" s="7"/>
      <c r="BE441" s="7"/>
      <c r="BF441" s="7"/>
      <c r="BG441" s="7"/>
      <c r="BH441" s="7"/>
      <c r="BI441" s="7"/>
      <c r="BJ441" s="7"/>
      <c r="BK441" s="7"/>
      <c r="BL441" s="7"/>
      <c r="BM441" s="7"/>
      <c r="BN441" s="7"/>
      <c r="BO441" s="7"/>
      <c r="BP441" s="7"/>
      <c r="BQ441" s="7"/>
      <c r="BR441" s="7"/>
      <c r="BS441" s="7">
        <v>198240</v>
      </c>
      <c r="BT441" s="7"/>
      <c r="BU441" s="7"/>
      <c r="BV441" s="7"/>
      <c r="BW441" s="2"/>
      <c r="BX441" s="8">
        <v>45779</v>
      </c>
      <c r="BY441" s="8"/>
      <c r="BZ441" s="2"/>
      <c r="CA441" s="14">
        <f t="shared" si="51"/>
        <v>198240</v>
      </c>
      <c r="CB441" s="2" t="str">
        <f t="shared" si="52"/>
        <v>OK</v>
      </c>
      <c r="CC441" s="13">
        <f t="shared" si="53"/>
        <v>0</v>
      </c>
    </row>
    <row r="442" spans="1:81" s="9" customFormat="1" ht="110.1" hidden="1" customHeight="1" x14ac:dyDescent="0.25">
      <c r="A442" s="2" t="s">
        <v>1156</v>
      </c>
      <c r="B442" s="2" t="s">
        <v>84</v>
      </c>
      <c r="C442" s="2" t="s">
        <v>74</v>
      </c>
      <c r="D442" s="12" t="s">
        <v>85</v>
      </c>
      <c r="E442" s="2" t="s">
        <v>86</v>
      </c>
      <c r="F442" s="2" t="s">
        <v>65</v>
      </c>
      <c r="G442" s="2" t="s">
        <v>2035</v>
      </c>
      <c r="H442" s="2" t="s">
        <v>77</v>
      </c>
      <c r="I442" s="2" t="s">
        <v>78</v>
      </c>
      <c r="J442" s="2" t="s">
        <v>87</v>
      </c>
      <c r="K442" s="2" t="s">
        <v>67</v>
      </c>
      <c r="L442" s="16">
        <v>521038.02</v>
      </c>
      <c r="M442" s="11">
        <v>339840</v>
      </c>
      <c r="N442" s="2" t="s">
        <v>39</v>
      </c>
      <c r="O442" s="7">
        <v>0</v>
      </c>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7"/>
      <c r="BC442" s="7"/>
      <c r="BD442" s="7"/>
      <c r="BE442" s="7"/>
      <c r="BF442" s="7"/>
      <c r="BG442" s="7"/>
      <c r="BH442" s="7"/>
      <c r="BI442" s="7"/>
      <c r="BJ442" s="7"/>
      <c r="BK442" s="7"/>
      <c r="BL442" s="7"/>
      <c r="BM442" s="7"/>
      <c r="BN442" s="7"/>
      <c r="BO442" s="7"/>
      <c r="BP442" s="7"/>
      <c r="BQ442" s="7"/>
      <c r="BR442" s="7"/>
      <c r="BS442" s="7">
        <v>339840</v>
      </c>
      <c r="BT442" s="7"/>
      <c r="BU442" s="7"/>
      <c r="BV442" s="7"/>
      <c r="BW442" s="2"/>
      <c r="BX442" s="8">
        <v>45779</v>
      </c>
      <c r="BY442" s="8"/>
      <c r="BZ442" s="2"/>
      <c r="CA442" s="14">
        <f t="shared" si="51"/>
        <v>339840</v>
      </c>
      <c r="CB442" s="2" t="str">
        <f t="shared" si="52"/>
        <v>OK</v>
      </c>
      <c r="CC442" s="13">
        <f t="shared" si="53"/>
        <v>0</v>
      </c>
    </row>
    <row r="443" spans="1:81" s="9" customFormat="1" ht="110.1" hidden="1" customHeight="1" x14ac:dyDescent="0.25">
      <c r="A443" s="2" t="s">
        <v>1157</v>
      </c>
      <c r="B443" s="2" t="s">
        <v>88</v>
      </c>
      <c r="C443" s="2" t="s">
        <v>74</v>
      </c>
      <c r="D443" s="12" t="s">
        <v>89</v>
      </c>
      <c r="E443" s="2" t="s">
        <v>90</v>
      </c>
      <c r="F443" s="2" t="s">
        <v>65</v>
      </c>
      <c r="G443" s="2" t="s">
        <v>2035</v>
      </c>
      <c r="H443" s="2" t="s">
        <v>77</v>
      </c>
      <c r="I443" s="2" t="s">
        <v>78</v>
      </c>
      <c r="J443" s="2" t="s">
        <v>87</v>
      </c>
      <c r="K443" s="2" t="s">
        <v>67</v>
      </c>
      <c r="L443" s="16">
        <v>842508.97</v>
      </c>
      <c r="M443" s="11">
        <v>339840</v>
      </c>
      <c r="N443" s="2" t="s">
        <v>39</v>
      </c>
      <c r="O443" s="7">
        <v>0</v>
      </c>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7"/>
      <c r="BC443" s="7"/>
      <c r="BD443" s="7"/>
      <c r="BE443" s="7"/>
      <c r="BF443" s="7"/>
      <c r="BG443" s="7"/>
      <c r="BH443" s="7"/>
      <c r="BI443" s="7"/>
      <c r="BJ443" s="7"/>
      <c r="BK443" s="7"/>
      <c r="BL443" s="7"/>
      <c r="BM443" s="7"/>
      <c r="BN443" s="7"/>
      <c r="BO443" s="7"/>
      <c r="BP443" s="7"/>
      <c r="BQ443" s="7"/>
      <c r="BR443" s="7"/>
      <c r="BS443" s="7">
        <v>339840</v>
      </c>
      <c r="BT443" s="7"/>
      <c r="BU443" s="7"/>
      <c r="BV443" s="7"/>
      <c r="BW443" s="2"/>
      <c r="BX443" s="8">
        <v>45779</v>
      </c>
      <c r="BY443" s="8"/>
      <c r="BZ443" s="2"/>
      <c r="CA443" s="14">
        <f t="shared" si="51"/>
        <v>339840</v>
      </c>
      <c r="CB443" s="2" t="str">
        <f t="shared" si="52"/>
        <v>OK</v>
      </c>
      <c r="CC443" s="13">
        <f t="shared" si="53"/>
        <v>0</v>
      </c>
    </row>
    <row r="444" spans="1:81" s="9" customFormat="1" ht="110.1" hidden="1" customHeight="1" x14ac:dyDescent="0.25">
      <c r="A444" s="2" t="s">
        <v>1158</v>
      </c>
      <c r="B444" s="2" t="s">
        <v>91</v>
      </c>
      <c r="C444" s="2" t="s">
        <v>74</v>
      </c>
      <c r="D444" s="12" t="s">
        <v>92</v>
      </c>
      <c r="E444" s="2" t="s">
        <v>93</v>
      </c>
      <c r="F444" s="2" t="s">
        <v>65</v>
      </c>
      <c r="G444" s="2" t="s">
        <v>2035</v>
      </c>
      <c r="H444" s="2" t="s">
        <v>77</v>
      </c>
      <c r="I444" s="2" t="s">
        <v>78</v>
      </c>
      <c r="J444" s="2" t="s">
        <v>94</v>
      </c>
      <c r="K444" s="2" t="s">
        <v>67</v>
      </c>
      <c r="L444" s="16">
        <v>346533.6</v>
      </c>
      <c r="M444" s="11">
        <v>226560</v>
      </c>
      <c r="N444" s="2" t="s">
        <v>39</v>
      </c>
      <c r="O444" s="7">
        <v>0</v>
      </c>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7"/>
      <c r="BC444" s="7"/>
      <c r="BD444" s="7"/>
      <c r="BE444" s="7"/>
      <c r="BF444" s="7"/>
      <c r="BG444" s="7"/>
      <c r="BH444" s="7"/>
      <c r="BI444" s="7"/>
      <c r="BJ444" s="7"/>
      <c r="BK444" s="7"/>
      <c r="BL444" s="7"/>
      <c r="BM444" s="7"/>
      <c r="BN444" s="7"/>
      <c r="BO444" s="7"/>
      <c r="BP444" s="7"/>
      <c r="BQ444" s="7"/>
      <c r="BR444" s="7"/>
      <c r="BS444" s="7">
        <v>226560</v>
      </c>
      <c r="BT444" s="7"/>
      <c r="BU444" s="7"/>
      <c r="BV444" s="7"/>
      <c r="BW444" s="2"/>
      <c r="BX444" s="8">
        <v>45779</v>
      </c>
      <c r="BY444" s="8"/>
      <c r="BZ444" s="2"/>
      <c r="CA444" s="14">
        <f t="shared" si="51"/>
        <v>226560</v>
      </c>
      <c r="CB444" s="2" t="str">
        <f t="shared" si="52"/>
        <v>OK</v>
      </c>
      <c r="CC444" s="13">
        <f t="shared" si="53"/>
        <v>0</v>
      </c>
    </row>
    <row r="445" spans="1:81" s="9" customFormat="1" ht="105" hidden="1" customHeight="1" x14ac:dyDescent="0.25">
      <c r="A445" s="2" t="s">
        <v>1160</v>
      </c>
      <c r="B445" s="2" t="s">
        <v>97</v>
      </c>
      <c r="C445" s="2" t="s">
        <v>74</v>
      </c>
      <c r="D445" s="12" t="s">
        <v>98</v>
      </c>
      <c r="E445" s="3" t="s">
        <v>99</v>
      </c>
      <c r="F445" s="2" t="s">
        <v>65</v>
      </c>
      <c r="G445" s="2" t="s">
        <v>2035</v>
      </c>
      <c r="H445" s="2" t="s">
        <v>77</v>
      </c>
      <c r="I445" s="2" t="s">
        <v>78</v>
      </c>
      <c r="J445" s="2" t="s">
        <v>100</v>
      </c>
      <c r="K445" s="2" t="s">
        <v>67</v>
      </c>
      <c r="L445" s="16">
        <v>3710875.77</v>
      </c>
      <c r="M445" s="11">
        <v>1472640</v>
      </c>
      <c r="N445" s="2" t="s">
        <v>39</v>
      </c>
      <c r="O445" s="7">
        <v>0</v>
      </c>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7"/>
      <c r="BC445" s="7"/>
      <c r="BD445" s="7"/>
      <c r="BE445" s="7"/>
      <c r="BF445" s="7"/>
      <c r="BG445" s="7"/>
      <c r="BH445" s="7"/>
      <c r="BI445" s="7"/>
      <c r="BJ445" s="7"/>
      <c r="BK445" s="7"/>
      <c r="BL445" s="7"/>
      <c r="BM445" s="7"/>
      <c r="BN445" s="7"/>
      <c r="BO445" s="7"/>
      <c r="BP445" s="7"/>
      <c r="BQ445" s="7"/>
      <c r="BR445" s="7"/>
      <c r="BS445" s="7">
        <v>1472640</v>
      </c>
      <c r="BT445" s="7"/>
      <c r="BU445" s="7"/>
      <c r="BV445" s="7"/>
      <c r="BW445" s="2"/>
      <c r="BX445" s="8">
        <v>45779</v>
      </c>
      <c r="BY445" s="8"/>
      <c r="BZ445" s="2"/>
      <c r="CA445" s="14">
        <f t="shared" si="51"/>
        <v>1472640</v>
      </c>
      <c r="CB445" s="2" t="str">
        <f t="shared" si="52"/>
        <v>OK</v>
      </c>
      <c r="CC445" s="13">
        <f t="shared" si="53"/>
        <v>0</v>
      </c>
    </row>
    <row r="446" spans="1:81" s="9" customFormat="1" ht="110.1" hidden="1" customHeight="1" x14ac:dyDescent="0.25">
      <c r="A446" s="2" t="s">
        <v>1161</v>
      </c>
      <c r="B446" s="2" t="s">
        <v>101</v>
      </c>
      <c r="C446" s="2" t="s">
        <v>74</v>
      </c>
      <c r="D446" s="12" t="s">
        <v>102</v>
      </c>
      <c r="E446" s="3" t="s">
        <v>103</v>
      </c>
      <c r="F446" s="2" t="s">
        <v>65</v>
      </c>
      <c r="G446" s="2" t="s">
        <v>2035</v>
      </c>
      <c r="H446" s="2" t="s">
        <v>77</v>
      </c>
      <c r="I446" s="2" t="s">
        <v>78</v>
      </c>
      <c r="J446" s="2" t="s">
        <v>100</v>
      </c>
      <c r="K446" s="2" t="s">
        <v>67</v>
      </c>
      <c r="L446" s="16">
        <v>3539593.2</v>
      </c>
      <c r="M446" s="11">
        <v>1472640</v>
      </c>
      <c r="N446" s="2" t="s">
        <v>39</v>
      </c>
      <c r="O446" s="7">
        <v>0</v>
      </c>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c r="BE446" s="7"/>
      <c r="BF446" s="7"/>
      <c r="BG446" s="7"/>
      <c r="BH446" s="7"/>
      <c r="BI446" s="7"/>
      <c r="BJ446" s="7"/>
      <c r="BK446" s="7"/>
      <c r="BL446" s="7"/>
      <c r="BM446" s="7"/>
      <c r="BN446" s="7"/>
      <c r="BO446" s="7"/>
      <c r="BP446" s="7"/>
      <c r="BQ446" s="7"/>
      <c r="BR446" s="7"/>
      <c r="BS446" s="7">
        <v>1472640</v>
      </c>
      <c r="BT446" s="7"/>
      <c r="BU446" s="7"/>
      <c r="BV446" s="7"/>
      <c r="BW446" s="2"/>
      <c r="BX446" s="8">
        <v>45779</v>
      </c>
      <c r="BY446" s="8"/>
      <c r="BZ446" s="2"/>
      <c r="CA446" s="14">
        <f t="shared" si="51"/>
        <v>1472640</v>
      </c>
      <c r="CB446" s="2" t="str">
        <f t="shared" si="52"/>
        <v>OK</v>
      </c>
      <c r="CC446" s="13">
        <f t="shared" si="53"/>
        <v>0</v>
      </c>
    </row>
    <row r="447" spans="1:81" s="9" customFormat="1" ht="120" hidden="1" customHeight="1" x14ac:dyDescent="0.25">
      <c r="A447" s="2" t="s">
        <v>1169</v>
      </c>
      <c r="B447" s="2" t="s">
        <v>132</v>
      </c>
      <c r="C447" s="2" t="s">
        <v>74</v>
      </c>
      <c r="D447" s="12" t="s">
        <v>133</v>
      </c>
      <c r="E447" s="2" t="s">
        <v>134</v>
      </c>
      <c r="F447" s="2" t="s">
        <v>65</v>
      </c>
      <c r="G447" s="2" t="s">
        <v>2035</v>
      </c>
      <c r="H447" s="2" t="s">
        <v>77</v>
      </c>
      <c r="I447" s="2" t="s">
        <v>78</v>
      </c>
      <c r="J447" s="2" t="s">
        <v>135</v>
      </c>
      <c r="K447" s="2" t="s">
        <v>67</v>
      </c>
      <c r="L447" s="16">
        <v>924427.1</v>
      </c>
      <c r="M447" s="11">
        <v>792960</v>
      </c>
      <c r="N447" s="2" t="s">
        <v>39</v>
      </c>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7"/>
      <c r="BC447" s="7"/>
      <c r="BD447" s="7"/>
      <c r="BE447" s="7"/>
      <c r="BF447" s="7"/>
      <c r="BG447" s="7"/>
      <c r="BH447" s="7"/>
      <c r="BI447" s="7"/>
      <c r="BJ447" s="7"/>
      <c r="BK447" s="7"/>
      <c r="BL447" s="7"/>
      <c r="BM447" s="7"/>
      <c r="BN447" s="7"/>
      <c r="BO447" s="7"/>
      <c r="BP447" s="7"/>
      <c r="BQ447" s="7"/>
      <c r="BR447" s="7"/>
      <c r="BS447" s="7">
        <v>792960</v>
      </c>
      <c r="BT447" s="7"/>
      <c r="BU447" s="7"/>
      <c r="BV447" s="7"/>
      <c r="BW447" s="2"/>
      <c r="BX447" s="8">
        <v>45779</v>
      </c>
      <c r="BY447" s="8"/>
      <c r="BZ447" s="2"/>
      <c r="CA447" s="14">
        <f t="shared" si="51"/>
        <v>792960</v>
      </c>
      <c r="CB447" s="2" t="str">
        <f t="shared" si="52"/>
        <v>OK</v>
      </c>
      <c r="CC447" s="13">
        <f t="shared" si="53"/>
        <v>0</v>
      </c>
    </row>
    <row r="448" spans="1:81" s="9" customFormat="1" ht="120" hidden="1" customHeight="1" x14ac:dyDescent="0.25">
      <c r="A448" s="2" t="s">
        <v>1170</v>
      </c>
      <c r="B448" s="2" t="s">
        <v>136</v>
      </c>
      <c r="C448" s="2" t="s">
        <v>74</v>
      </c>
      <c r="D448" s="12" t="s">
        <v>137</v>
      </c>
      <c r="E448" s="2" t="s">
        <v>138</v>
      </c>
      <c r="F448" s="2" t="s">
        <v>65</v>
      </c>
      <c r="G448" s="2" t="s">
        <v>2035</v>
      </c>
      <c r="H448" s="2" t="s">
        <v>77</v>
      </c>
      <c r="I448" s="2" t="s">
        <v>78</v>
      </c>
      <c r="J448" s="2" t="s">
        <v>139</v>
      </c>
      <c r="K448" s="2" t="s">
        <v>67</v>
      </c>
      <c r="L448" s="16">
        <v>261434.94</v>
      </c>
      <c r="M448" s="11">
        <v>198240</v>
      </c>
      <c r="N448" s="2" t="s">
        <v>39</v>
      </c>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7"/>
      <c r="BC448" s="7"/>
      <c r="BD448" s="7"/>
      <c r="BE448" s="7"/>
      <c r="BF448" s="7"/>
      <c r="BG448" s="7"/>
      <c r="BH448" s="7"/>
      <c r="BI448" s="7"/>
      <c r="BJ448" s="7"/>
      <c r="BK448" s="7"/>
      <c r="BL448" s="7"/>
      <c r="BM448" s="7"/>
      <c r="BN448" s="7"/>
      <c r="BO448" s="7"/>
      <c r="BP448" s="7"/>
      <c r="BQ448" s="7"/>
      <c r="BR448" s="7"/>
      <c r="BS448" s="7">
        <v>198240</v>
      </c>
      <c r="BT448" s="7"/>
      <c r="BU448" s="7"/>
      <c r="BV448" s="7"/>
      <c r="BW448" s="2"/>
      <c r="BX448" s="8">
        <v>45779</v>
      </c>
      <c r="BY448" s="8"/>
      <c r="BZ448" s="2"/>
      <c r="CA448" s="14">
        <f t="shared" si="51"/>
        <v>198240</v>
      </c>
      <c r="CB448" s="2" t="str">
        <f t="shared" si="52"/>
        <v>OK</v>
      </c>
      <c r="CC448" s="13">
        <f t="shared" si="53"/>
        <v>0</v>
      </c>
    </row>
    <row r="449" spans="1:81" s="9" customFormat="1" ht="110.25" hidden="1" customHeight="1" x14ac:dyDescent="0.25">
      <c r="A449" s="2" t="s">
        <v>1171</v>
      </c>
      <c r="B449" s="2" t="s">
        <v>140</v>
      </c>
      <c r="C449" s="2" t="s">
        <v>74</v>
      </c>
      <c r="D449" s="12" t="s">
        <v>141</v>
      </c>
      <c r="E449" s="2" t="s">
        <v>142</v>
      </c>
      <c r="F449" s="2" t="s">
        <v>65</v>
      </c>
      <c r="G449" s="2" t="s">
        <v>2035</v>
      </c>
      <c r="H449" s="2" t="s">
        <v>77</v>
      </c>
      <c r="I449" s="2" t="s">
        <v>78</v>
      </c>
      <c r="J449" s="2" t="s">
        <v>143</v>
      </c>
      <c r="K449" s="2" t="s">
        <v>67</v>
      </c>
      <c r="L449" s="16">
        <v>173266.8</v>
      </c>
      <c r="M449" s="11">
        <v>113280</v>
      </c>
      <c r="N449" s="2" t="s">
        <v>39</v>
      </c>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c r="BB449" s="7"/>
      <c r="BC449" s="7"/>
      <c r="BD449" s="7"/>
      <c r="BE449" s="7"/>
      <c r="BF449" s="7"/>
      <c r="BG449" s="7"/>
      <c r="BH449" s="7"/>
      <c r="BI449" s="7"/>
      <c r="BJ449" s="7"/>
      <c r="BK449" s="7"/>
      <c r="BL449" s="7"/>
      <c r="BM449" s="7"/>
      <c r="BN449" s="7"/>
      <c r="BO449" s="7"/>
      <c r="BP449" s="7"/>
      <c r="BQ449" s="7"/>
      <c r="BR449" s="7"/>
      <c r="BS449" s="7">
        <v>113280</v>
      </c>
      <c r="BT449" s="7"/>
      <c r="BU449" s="7"/>
      <c r="BV449" s="7"/>
      <c r="BW449" s="2"/>
      <c r="BX449" s="8">
        <v>45779</v>
      </c>
      <c r="BY449" s="8"/>
      <c r="BZ449" s="2" t="s">
        <v>1758</v>
      </c>
      <c r="CA449" s="14">
        <f t="shared" si="51"/>
        <v>113280</v>
      </c>
      <c r="CB449" s="2" t="str">
        <f t="shared" si="52"/>
        <v>OK</v>
      </c>
      <c r="CC449" s="13">
        <f t="shared" si="53"/>
        <v>0</v>
      </c>
    </row>
    <row r="450" spans="1:81" s="9" customFormat="1" ht="120" hidden="1" customHeight="1" x14ac:dyDescent="0.25">
      <c r="A450" s="2" t="s">
        <v>1172</v>
      </c>
      <c r="B450" s="2" t="s">
        <v>144</v>
      </c>
      <c r="C450" s="2" t="s">
        <v>74</v>
      </c>
      <c r="D450" s="12" t="s">
        <v>145</v>
      </c>
      <c r="E450" s="2" t="s">
        <v>146</v>
      </c>
      <c r="F450" s="2" t="s">
        <v>65</v>
      </c>
      <c r="G450" s="2" t="s">
        <v>2035</v>
      </c>
      <c r="H450" s="2" t="s">
        <v>77</v>
      </c>
      <c r="I450" s="2" t="s">
        <v>78</v>
      </c>
      <c r="J450" s="2" t="s">
        <v>147</v>
      </c>
      <c r="K450" s="2" t="s">
        <v>67</v>
      </c>
      <c r="L450" s="16">
        <v>693067.2</v>
      </c>
      <c r="M450" s="11">
        <v>453120</v>
      </c>
      <c r="N450" s="2" t="s">
        <v>39</v>
      </c>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c r="BA450" s="7"/>
      <c r="BB450" s="7"/>
      <c r="BC450" s="7"/>
      <c r="BD450" s="7"/>
      <c r="BE450" s="7"/>
      <c r="BF450" s="7"/>
      <c r="BG450" s="7"/>
      <c r="BH450" s="7"/>
      <c r="BI450" s="7"/>
      <c r="BJ450" s="7"/>
      <c r="BK450" s="7"/>
      <c r="BL450" s="7"/>
      <c r="BM450" s="7"/>
      <c r="BN450" s="7"/>
      <c r="BO450" s="7"/>
      <c r="BP450" s="7"/>
      <c r="BQ450" s="7"/>
      <c r="BR450" s="7"/>
      <c r="BS450" s="7">
        <v>453120</v>
      </c>
      <c r="BT450" s="7"/>
      <c r="BU450" s="7"/>
      <c r="BV450" s="7"/>
      <c r="BW450" s="2"/>
      <c r="BX450" s="8">
        <v>45779</v>
      </c>
      <c r="BY450" s="8"/>
      <c r="BZ450" s="2"/>
      <c r="CA450" s="14">
        <f t="shared" si="51"/>
        <v>453120</v>
      </c>
      <c r="CB450" s="2" t="str">
        <f t="shared" si="52"/>
        <v>OK</v>
      </c>
      <c r="CC450" s="13">
        <f t="shared" si="53"/>
        <v>0</v>
      </c>
    </row>
    <row r="451" spans="1:81" s="9" customFormat="1" ht="141" hidden="1" customHeight="1" x14ac:dyDescent="0.25">
      <c r="A451" s="2" t="s">
        <v>1179</v>
      </c>
      <c r="B451" s="2" t="s">
        <v>169</v>
      </c>
      <c r="C451" s="2" t="s">
        <v>74</v>
      </c>
      <c r="D451" s="12" t="s">
        <v>170</v>
      </c>
      <c r="E451" s="3" t="s">
        <v>171</v>
      </c>
      <c r="F451" s="2" t="s">
        <v>65</v>
      </c>
      <c r="G451" s="2" t="s">
        <v>2035</v>
      </c>
      <c r="H451" s="2" t="s">
        <v>77</v>
      </c>
      <c r="I451" s="2" t="s">
        <v>78</v>
      </c>
      <c r="J451" s="2" t="s">
        <v>172</v>
      </c>
      <c r="K451" s="2" t="s">
        <v>67</v>
      </c>
      <c r="L451" s="16">
        <v>884898.3</v>
      </c>
      <c r="M451" s="11">
        <v>368160</v>
      </c>
      <c r="N451" s="2" t="s">
        <v>39</v>
      </c>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c r="BB451" s="7"/>
      <c r="BC451" s="7"/>
      <c r="BD451" s="7"/>
      <c r="BE451" s="7"/>
      <c r="BF451" s="7"/>
      <c r="BG451" s="7"/>
      <c r="BH451" s="7"/>
      <c r="BI451" s="7"/>
      <c r="BJ451" s="7"/>
      <c r="BK451" s="7"/>
      <c r="BL451" s="7"/>
      <c r="BM451" s="7"/>
      <c r="BN451" s="7"/>
      <c r="BO451" s="7"/>
      <c r="BP451" s="7"/>
      <c r="BQ451" s="7"/>
      <c r="BR451" s="7"/>
      <c r="BS451" s="7">
        <v>368160</v>
      </c>
      <c r="BT451" s="7"/>
      <c r="BU451" s="7"/>
      <c r="BV451" s="7"/>
      <c r="BW451" s="2"/>
      <c r="BX451" s="8">
        <v>45779</v>
      </c>
      <c r="BY451" s="8"/>
      <c r="BZ451" s="2" t="s">
        <v>1759</v>
      </c>
      <c r="CA451" s="14">
        <f t="shared" si="51"/>
        <v>368160</v>
      </c>
      <c r="CB451" s="2" t="str">
        <f t="shared" si="52"/>
        <v>OK</v>
      </c>
      <c r="CC451" s="13">
        <f t="shared" si="53"/>
        <v>0</v>
      </c>
    </row>
    <row r="452" spans="1:81" s="9" customFormat="1" ht="159" hidden="1" customHeight="1" x14ac:dyDescent="0.25">
      <c r="A452" s="2" t="s">
        <v>1180</v>
      </c>
      <c r="B452" s="2" t="s">
        <v>173</v>
      </c>
      <c r="C452" s="2" t="s">
        <v>74</v>
      </c>
      <c r="D452" s="12" t="s">
        <v>174</v>
      </c>
      <c r="E452" s="3" t="s">
        <v>175</v>
      </c>
      <c r="F452" s="2" t="s">
        <v>65</v>
      </c>
      <c r="G452" s="2" t="s">
        <v>2035</v>
      </c>
      <c r="H452" s="2" t="s">
        <v>77</v>
      </c>
      <c r="I452" s="2" t="s">
        <v>78</v>
      </c>
      <c r="J452" s="2" t="s">
        <v>176</v>
      </c>
      <c r="K452" s="2" t="s">
        <v>67</v>
      </c>
      <c r="L452" s="16">
        <v>816829.2</v>
      </c>
      <c r="M452" s="11">
        <v>339840</v>
      </c>
      <c r="N452" s="2" t="s">
        <v>39</v>
      </c>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c r="BA452" s="7"/>
      <c r="BB452" s="7"/>
      <c r="BC452" s="7"/>
      <c r="BD452" s="7"/>
      <c r="BE452" s="7"/>
      <c r="BF452" s="7"/>
      <c r="BG452" s="7"/>
      <c r="BH452" s="7"/>
      <c r="BI452" s="7"/>
      <c r="BJ452" s="7"/>
      <c r="BK452" s="7"/>
      <c r="BL452" s="7"/>
      <c r="BM452" s="7"/>
      <c r="BN452" s="7"/>
      <c r="BO452" s="7"/>
      <c r="BP452" s="7"/>
      <c r="BQ452" s="7"/>
      <c r="BR452" s="7"/>
      <c r="BS452" s="7">
        <v>339840</v>
      </c>
      <c r="BT452" s="7"/>
      <c r="BU452" s="7"/>
      <c r="BV452" s="7"/>
      <c r="BW452" s="2"/>
      <c r="BX452" s="8">
        <v>45779</v>
      </c>
      <c r="BY452" s="8"/>
      <c r="BZ452" s="2"/>
      <c r="CA452" s="14">
        <f t="shared" si="51"/>
        <v>339840</v>
      </c>
      <c r="CB452" s="2" t="str">
        <f t="shared" si="52"/>
        <v>OK</v>
      </c>
      <c r="CC452" s="13">
        <f t="shared" si="53"/>
        <v>0</v>
      </c>
    </row>
    <row r="453" spans="1:81" s="9" customFormat="1" ht="120" hidden="1" customHeight="1" x14ac:dyDescent="0.25">
      <c r="A453" s="2" t="s">
        <v>1182</v>
      </c>
      <c r="B453" s="2" t="s">
        <v>181</v>
      </c>
      <c r="C453" s="2" t="s">
        <v>74</v>
      </c>
      <c r="D453" s="12" t="s">
        <v>182</v>
      </c>
      <c r="E453" s="3" t="s">
        <v>183</v>
      </c>
      <c r="F453" s="2" t="s">
        <v>65</v>
      </c>
      <c r="G453" s="2" t="s">
        <v>2035</v>
      </c>
      <c r="H453" s="2" t="s">
        <v>77</v>
      </c>
      <c r="I453" s="2" t="s">
        <v>78</v>
      </c>
      <c r="J453" s="2" t="s">
        <v>176</v>
      </c>
      <c r="K453" s="2" t="s">
        <v>67</v>
      </c>
      <c r="L453" s="16">
        <v>816829.2</v>
      </c>
      <c r="M453" s="11">
        <v>339840</v>
      </c>
      <c r="N453" s="2" t="s">
        <v>39</v>
      </c>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c r="BD453" s="7"/>
      <c r="BE453" s="7"/>
      <c r="BF453" s="7"/>
      <c r="BG453" s="7"/>
      <c r="BH453" s="7"/>
      <c r="BI453" s="7"/>
      <c r="BJ453" s="7"/>
      <c r="BK453" s="7"/>
      <c r="BL453" s="7"/>
      <c r="BM453" s="7"/>
      <c r="BN453" s="7"/>
      <c r="BO453" s="7"/>
      <c r="BP453" s="7"/>
      <c r="BQ453" s="7"/>
      <c r="BR453" s="7"/>
      <c r="BS453" s="7">
        <v>339840</v>
      </c>
      <c r="BT453" s="7"/>
      <c r="BU453" s="7"/>
      <c r="BV453" s="7"/>
      <c r="BW453" s="2"/>
      <c r="BX453" s="8">
        <v>45779</v>
      </c>
      <c r="BY453" s="8"/>
      <c r="BZ453" s="2"/>
      <c r="CA453" s="14">
        <f t="shared" si="51"/>
        <v>339840</v>
      </c>
      <c r="CB453" s="2" t="str">
        <f t="shared" si="52"/>
        <v>OK</v>
      </c>
      <c r="CC453" s="13">
        <f t="shared" si="53"/>
        <v>0</v>
      </c>
    </row>
    <row r="454" spans="1:81" s="9" customFormat="1" ht="120" hidden="1" customHeight="1" x14ac:dyDescent="0.25">
      <c r="A454" s="2" t="s">
        <v>1183</v>
      </c>
      <c r="B454" s="2" t="s">
        <v>184</v>
      </c>
      <c r="C454" s="2" t="s">
        <v>74</v>
      </c>
      <c r="D454" s="12" t="s">
        <v>185</v>
      </c>
      <c r="E454" s="2" t="s">
        <v>186</v>
      </c>
      <c r="F454" s="2" t="s">
        <v>65</v>
      </c>
      <c r="G454" s="2" t="s">
        <v>2035</v>
      </c>
      <c r="H454" s="2" t="s">
        <v>77</v>
      </c>
      <c r="I454" s="2" t="s">
        <v>78</v>
      </c>
      <c r="J454" s="2" t="s">
        <v>135</v>
      </c>
      <c r="K454" s="2" t="s">
        <v>67</v>
      </c>
      <c r="L454" s="16">
        <v>1905934.8</v>
      </c>
      <c r="M454" s="11">
        <v>792960</v>
      </c>
      <c r="N454" s="2" t="s">
        <v>39</v>
      </c>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c r="BF454" s="7"/>
      <c r="BG454" s="7"/>
      <c r="BH454" s="7"/>
      <c r="BI454" s="7"/>
      <c r="BJ454" s="7"/>
      <c r="BK454" s="7"/>
      <c r="BL454" s="7"/>
      <c r="BM454" s="7"/>
      <c r="BN454" s="7"/>
      <c r="BO454" s="7"/>
      <c r="BP454" s="7"/>
      <c r="BQ454" s="7"/>
      <c r="BR454" s="7"/>
      <c r="BS454" s="7">
        <v>792960</v>
      </c>
      <c r="BT454" s="7"/>
      <c r="BU454" s="7"/>
      <c r="BV454" s="7"/>
      <c r="BW454" s="2"/>
      <c r="BX454" s="8">
        <v>45779</v>
      </c>
      <c r="BY454" s="8"/>
      <c r="BZ454" s="2"/>
      <c r="CA454" s="14">
        <f t="shared" si="51"/>
        <v>792960</v>
      </c>
      <c r="CB454" s="2" t="str">
        <f t="shared" si="52"/>
        <v>OK</v>
      </c>
      <c r="CC454" s="13">
        <f t="shared" si="53"/>
        <v>0</v>
      </c>
    </row>
    <row r="455" spans="1:81" s="9" customFormat="1" ht="115.5" hidden="1" customHeight="1" x14ac:dyDescent="0.25">
      <c r="A455" s="2" t="s">
        <v>1184</v>
      </c>
      <c r="B455" s="2" t="s">
        <v>187</v>
      </c>
      <c r="C455" s="2" t="s">
        <v>74</v>
      </c>
      <c r="D455" s="12" t="s">
        <v>188</v>
      </c>
      <c r="E455" s="3" t="s">
        <v>189</v>
      </c>
      <c r="F455" s="2" t="s">
        <v>65</v>
      </c>
      <c r="G455" s="2" t="s">
        <v>2035</v>
      </c>
      <c r="H455" s="2" t="s">
        <v>77</v>
      </c>
      <c r="I455" s="2" t="s">
        <v>78</v>
      </c>
      <c r="J455" s="2" t="s">
        <v>190</v>
      </c>
      <c r="K455" s="2" t="s">
        <v>67</v>
      </c>
      <c r="L455" s="16">
        <v>518710.95</v>
      </c>
      <c r="M455" s="11">
        <v>212400</v>
      </c>
      <c r="N455" s="2" t="s">
        <v>39</v>
      </c>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7"/>
      <c r="BC455" s="7"/>
      <c r="BD455" s="7"/>
      <c r="BE455" s="7"/>
      <c r="BF455" s="7"/>
      <c r="BG455" s="7"/>
      <c r="BH455" s="7"/>
      <c r="BI455" s="7"/>
      <c r="BJ455" s="7"/>
      <c r="BK455" s="7"/>
      <c r="BL455" s="7"/>
      <c r="BM455" s="7"/>
      <c r="BN455" s="7"/>
      <c r="BO455" s="7"/>
      <c r="BP455" s="7"/>
      <c r="BQ455" s="7"/>
      <c r="BR455" s="7"/>
      <c r="BS455" s="7">
        <v>212400</v>
      </c>
      <c r="BT455" s="7"/>
      <c r="BU455" s="7"/>
      <c r="BV455" s="7"/>
      <c r="BW455" s="2"/>
      <c r="BX455" s="8">
        <v>45779</v>
      </c>
      <c r="BY455" s="8"/>
      <c r="BZ455" s="2"/>
      <c r="CA455" s="14">
        <f t="shared" si="51"/>
        <v>212400</v>
      </c>
      <c r="CB455" s="2" t="str">
        <f t="shared" si="52"/>
        <v>OK</v>
      </c>
      <c r="CC455" s="13">
        <f t="shared" si="53"/>
        <v>0</v>
      </c>
    </row>
    <row r="456" spans="1:81" s="9" customFormat="1" ht="132" hidden="1" customHeight="1" x14ac:dyDescent="0.25">
      <c r="A456" s="2" t="s">
        <v>1186</v>
      </c>
      <c r="B456" s="2" t="s">
        <v>194</v>
      </c>
      <c r="C456" s="2" t="s">
        <v>74</v>
      </c>
      <c r="D456" s="12" t="s">
        <v>195</v>
      </c>
      <c r="E456" s="2" t="s">
        <v>196</v>
      </c>
      <c r="F456" s="2" t="s">
        <v>65</v>
      </c>
      <c r="G456" s="2" t="s">
        <v>2035</v>
      </c>
      <c r="H456" s="2" t="s">
        <v>77</v>
      </c>
      <c r="I456" s="2" t="s">
        <v>78</v>
      </c>
      <c r="J456" s="2" t="s">
        <v>197</v>
      </c>
      <c r="K456" s="2" t="s">
        <v>67</v>
      </c>
      <c r="L456" s="16">
        <v>585394.26</v>
      </c>
      <c r="M456" s="11">
        <v>243552</v>
      </c>
      <c r="N456" s="2" t="s">
        <v>39</v>
      </c>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7"/>
      <c r="BC456" s="7"/>
      <c r="BD456" s="7"/>
      <c r="BE456" s="7"/>
      <c r="BF456" s="7"/>
      <c r="BG456" s="7"/>
      <c r="BH456" s="7"/>
      <c r="BI456" s="7"/>
      <c r="BJ456" s="7"/>
      <c r="BK456" s="7"/>
      <c r="BL456" s="7"/>
      <c r="BM456" s="7"/>
      <c r="BN456" s="7"/>
      <c r="BO456" s="7"/>
      <c r="BP456" s="7"/>
      <c r="BQ456" s="7"/>
      <c r="BR456" s="7"/>
      <c r="BS456" s="7">
        <v>243552</v>
      </c>
      <c r="BT456" s="7"/>
      <c r="BU456" s="7"/>
      <c r="BV456" s="7"/>
      <c r="BW456" s="2"/>
      <c r="BX456" s="8">
        <v>45779</v>
      </c>
      <c r="BY456" s="8"/>
      <c r="BZ456" s="2"/>
      <c r="CA456" s="14">
        <f t="shared" si="51"/>
        <v>243552</v>
      </c>
      <c r="CB456" s="2" t="str">
        <f t="shared" si="52"/>
        <v>OK</v>
      </c>
      <c r="CC456" s="13">
        <f t="shared" si="53"/>
        <v>0</v>
      </c>
    </row>
    <row r="457" spans="1:81" s="9" customFormat="1" ht="120" hidden="1" customHeight="1" x14ac:dyDescent="0.25">
      <c r="A457" s="2" t="s">
        <v>1189</v>
      </c>
      <c r="B457" s="2" t="s">
        <v>205</v>
      </c>
      <c r="C457" s="2" t="s">
        <v>74</v>
      </c>
      <c r="D457" s="12" t="s">
        <v>206</v>
      </c>
      <c r="E457" s="2" t="s">
        <v>207</v>
      </c>
      <c r="F457" s="2" t="s">
        <v>65</v>
      </c>
      <c r="G457" s="2" t="s">
        <v>2035</v>
      </c>
      <c r="H457" s="2" t="s">
        <v>77</v>
      </c>
      <c r="I457" s="2" t="s">
        <v>78</v>
      </c>
      <c r="J457" s="2" t="s">
        <v>208</v>
      </c>
      <c r="K457" s="2" t="s">
        <v>67</v>
      </c>
      <c r="L457" s="16">
        <v>816829.2</v>
      </c>
      <c r="M457" s="11">
        <v>339840</v>
      </c>
      <c r="N457" s="2" t="s">
        <v>39</v>
      </c>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7"/>
      <c r="BC457" s="7"/>
      <c r="BD457" s="7"/>
      <c r="BE457" s="7"/>
      <c r="BF457" s="7"/>
      <c r="BG457" s="7"/>
      <c r="BH457" s="7"/>
      <c r="BI457" s="7"/>
      <c r="BJ457" s="7"/>
      <c r="BK457" s="7"/>
      <c r="BL457" s="7"/>
      <c r="BM457" s="7"/>
      <c r="BN457" s="7"/>
      <c r="BO457" s="7"/>
      <c r="BP457" s="7"/>
      <c r="BQ457" s="7"/>
      <c r="BR457" s="7"/>
      <c r="BS457" s="7">
        <v>339840</v>
      </c>
      <c r="BT457" s="7"/>
      <c r="BU457" s="7"/>
      <c r="BV457" s="7"/>
      <c r="BW457" s="2"/>
      <c r="BX457" s="8">
        <v>45779</v>
      </c>
      <c r="BY457" s="8"/>
      <c r="BZ457" s="2"/>
      <c r="CA457" s="14">
        <f t="shared" si="51"/>
        <v>339840</v>
      </c>
      <c r="CB457" s="2" t="str">
        <f t="shared" si="52"/>
        <v>OK</v>
      </c>
      <c r="CC457" s="13">
        <f t="shared" si="53"/>
        <v>0</v>
      </c>
    </row>
    <row r="458" spans="1:81" s="9" customFormat="1" ht="150.75" hidden="1" customHeight="1" x14ac:dyDescent="0.25">
      <c r="A458" s="2" t="s">
        <v>1191</v>
      </c>
      <c r="B458" s="2" t="s">
        <v>213</v>
      </c>
      <c r="C458" s="2" t="s">
        <v>74</v>
      </c>
      <c r="D458" s="12" t="s">
        <v>214</v>
      </c>
      <c r="E458" s="2" t="s">
        <v>215</v>
      </c>
      <c r="F458" s="2" t="s">
        <v>65</v>
      </c>
      <c r="G458" s="2" t="s">
        <v>2035</v>
      </c>
      <c r="H458" s="2" t="s">
        <v>77</v>
      </c>
      <c r="I458" s="2" t="s">
        <v>78</v>
      </c>
      <c r="J458" s="2" t="s">
        <v>216</v>
      </c>
      <c r="K458" s="2" t="s">
        <v>67</v>
      </c>
      <c r="L458" s="16">
        <v>204207.3</v>
      </c>
      <c r="M458" s="11">
        <v>84960</v>
      </c>
      <c r="N458" s="2" t="s">
        <v>39</v>
      </c>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7"/>
      <c r="BC458" s="7"/>
      <c r="BD458" s="7"/>
      <c r="BE458" s="7"/>
      <c r="BF458" s="7"/>
      <c r="BG458" s="7"/>
      <c r="BH458" s="7"/>
      <c r="BI458" s="7"/>
      <c r="BJ458" s="7"/>
      <c r="BK458" s="7"/>
      <c r="BL458" s="7"/>
      <c r="BM458" s="7"/>
      <c r="BN458" s="7"/>
      <c r="BO458" s="7"/>
      <c r="BP458" s="7"/>
      <c r="BQ458" s="7"/>
      <c r="BR458" s="7"/>
      <c r="BS458" s="7">
        <v>84960</v>
      </c>
      <c r="BT458" s="7"/>
      <c r="BU458" s="7"/>
      <c r="BV458" s="7"/>
      <c r="BW458" s="2"/>
      <c r="BX458" s="8">
        <v>45779</v>
      </c>
      <c r="BY458" s="8"/>
      <c r="BZ458" s="2"/>
      <c r="CA458" s="14">
        <f t="shared" si="51"/>
        <v>84960</v>
      </c>
      <c r="CB458" s="2" t="str">
        <f t="shared" si="52"/>
        <v>OK</v>
      </c>
      <c r="CC458" s="13">
        <f t="shared" si="53"/>
        <v>0</v>
      </c>
    </row>
    <row r="459" spans="1:81" s="9" customFormat="1" ht="120" hidden="1" customHeight="1" x14ac:dyDescent="0.25">
      <c r="A459" s="2" t="s">
        <v>1192</v>
      </c>
      <c r="B459" s="2" t="s">
        <v>217</v>
      </c>
      <c r="C459" s="2" t="s">
        <v>74</v>
      </c>
      <c r="D459" s="12" t="s">
        <v>218</v>
      </c>
      <c r="E459" s="2" t="s">
        <v>219</v>
      </c>
      <c r="F459" s="2" t="s">
        <v>65</v>
      </c>
      <c r="G459" s="2" t="s">
        <v>2035</v>
      </c>
      <c r="H459" s="2" t="s">
        <v>77</v>
      </c>
      <c r="I459" s="2" t="s">
        <v>78</v>
      </c>
      <c r="J459" s="2" t="s">
        <v>220</v>
      </c>
      <c r="K459" s="2" t="s">
        <v>67</v>
      </c>
      <c r="L459" s="16">
        <v>1059699.06</v>
      </c>
      <c r="M459" s="11">
        <v>424800</v>
      </c>
      <c r="N459" s="2" t="s">
        <v>39</v>
      </c>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c r="BA459" s="7"/>
      <c r="BB459" s="7"/>
      <c r="BC459" s="7"/>
      <c r="BD459" s="7"/>
      <c r="BE459" s="7"/>
      <c r="BF459" s="7"/>
      <c r="BG459" s="7"/>
      <c r="BH459" s="7"/>
      <c r="BI459" s="7"/>
      <c r="BJ459" s="7"/>
      <c r="BK459" s="7"/>
      <c r="BL459" s="7"/>
      <c r="BM459" s="7"/>
      <c r="BN459" s="7"/>
      <c r="BO459" s="7"/>
      <c r="BP459" s="7"/>
      <c r="BQ459" s="7"/>
      <c r="BR459" s="7"/>
      <c r="BS459" s="7">
        <v>424800</v>
      </c>
      <c r="BT459" s="7"/>
      <c r="BU459" s="7"/>
      <c r="BV459" s="7"/>
      <c r="BW459" s="2"/>
      <c r="BX459" s="8">
        <v>45779</v>
      </c>
      <c r="BY459" s="8"/>
      <c r="BZ459" s="2"/>
      <c r="CA459" s="14">
        <f t="shared" si="51"/>
        <v>424800</v>
      </c>
      <c r="CB459" s="2" t="str">
        <f t="shared" si="52"/>
        <v>OK</v>
      </c>
      <c r="CC459" s="13">
        <f t="shared" si="53"/>
        <v>0</v>
      </c>
    </row>
    <row r="460" spans="1:81" s="9" customFormat="1" ht="120" hidden="1" customHeight="1" x14ac:dyDescent="0.25">
      <c r="A460" s="2" t="s">
        <v>1193</v>
      </c>
      <c r="B460" s="2" t="s">
        <v>221</v>
      </c>
      <c r="C460" s="2" t="s">
        <v>74</v>
      </c>
      <c r="D460" s="12" t="s">
        <v>222</v>
      </c>
      <c r="E460" s="2" t="s">
        <v>223</v>
      </c>
      <c r="F460" s="2" t="s">
        <v>65</v>
      </c>
      <c r="G460" s="2" t="s">
        <v>2035</v>
      </c>
      <c r="H460" s="2" t="s">
        <v>77</v>
      </c>
      <c r="I460" s="2" t="s">
        <v>78</v>
      </c>
      <c r="J460" s="2" t="s">
        <v>224</v>
      </c>
      <c r="K460" s="2" t="s">
        <v>67</v>
      </c>
      <c r="L460" s="16">
        <v>272276.40000000002</v>
      </c>
      <c r="M460" s="11">
        <v>113280</v>
      </c>
      <c r="N460" s="2" t="s">
        <v>39</v>
      </c>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7"/>
      <c r="BD460" s="7"/>
      <c r="BE460" s="7"/>
      <c r="BF460" s="7"/>
      <c r="BG460" s="7"/>
      <c r="BH460" s="7"/>
      <c r="BI460" s="7"/>
      <c r="BJ460" s="7"/>
      <c r="BK460" s="7"/>
      <c r="BL460" s="7"/>
      <c r="BM460" s="7"/>
      <c r="BN460" s="7"/>
      <c r="BO460" s="7"/>
      <c r="BP460" s="7"/>
      <c r="BQ460" s="7"/>
      <c r="BR460" s="7"/>
      <c r="BS460" s="7">
        <v>113280</v>
      </c>
      <c r="BT460" s="7"/>
      <c r="BU460" s="7"/>
      <c r="BV460" s="7"/>
      <c r="BW460" s="2"/>
      <c r="BX460" s="8">
        <v>45779</v>
      </c>
      <c r="BY460" s="8"/>
      <c r="BZ460" s="24"/>
      <c r="CA460" s="14">
        <f t="shared" si="51"/>
        <v>113280</v>
      </c>
      <c r="CB460" s="2" t="str">
        <f t="shared" si="52"/>
        <v>OK</v>
      </c>
      <c r="CC460" s="13">
        <f t="shared" si="53"/>
        <v>0</v>
      </c>
    </row>
    <row r="461" spans="1:81" s="9" customFormat="1" ht="120" hidden="1" customHeight="1" x14ac:dyDescent="0.25">
      <c r="A461" s="2" t="s">
        <v>1195</v>
      </c>
      <c r="B461" s="2" t="s">
        <v>228</v>
      </c>
      <c r="C461" s="2" t="s">
        <v>74</v>
      </c>
      <c r="D461" s="12" t="s">
        <v>229</v>
      </c>
      <c r="E461" s="2" t="s">
        <v>230</v>
      </c>
      <c r="F461" s="2" t="s">
        <v>65</v>
      </c>
      <c r="G461" s="2" t="s">
        <v>2035</v>
      </c>
      <c r="H461" s="2" t="s">
        <v>77</v>
      </c>
      <c r="I461" s="2" t="s">
        <v>78</v>
      </c>
      <c r="J461" s="2" t="s">
        <v>231</v>
      </c>
      <c r="K461" s="2" t="s">
        <v>67</v>
      </c>
      <c r="L461" s="16">
        <v>544552.80000000005</v>
      </c>
      <c r="M461" s="11">
        <v>226560</v>
      </c>
      <c r="N461" s="2" t="s">
        <v>39</v>
      </c>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c r="BA461" s="7"/>
      <c r="BB461" s="7"/>
      <c r="BC461" s="7"/>
      <c r="BD461" s="7"/>
      <c r="BE461" s="7"/>
      <c r="BF461" s="7"/>
      <c r="BG461" s="7"/>
      <c r="BH461" s="7"/>
      <c r="BI461" s="7"/>
      <c r="BJ461" s="7"/>
      <c r="BK461" s="7"/>
      <c r="BL461" s="7"/>
      <c r="BM461" s="7"/>
      <c r="BN461" s="7"/>
      <c r="BO461" s="7"/>
      <c r="BP461" s="7"/>
      <c r="BQ461" s="7"/>
      <c r="BR461" s="7"/>
      <c r="BS461" s="7">
        <v>226560</v>
      </c>
      <c r="BT461" s="7"/>
      <c r="BU461" s="7"/>
      <c r="BV461" s="7"/>
      <c r="BW461" s="2"/>
      <c r="BX461" s="8">
        <v>45779</v>
      </c>
      <c r="BY461" s="45"/>
      <c r="BZ461" s="2" t="s">
        <v>1760</v>
      </c>
      <c r="CA461" s="14">
        <f t="shared" si="51"/>
        <v>226560</v>
      </c>
      <c r="CB461" s="2" t="str">
        <f t="shared" si="52"/>
        <v>OK</v>
      </c>
      <c r="CC461" s="13">
        <f t="shared" si="53"/>
        <v>0</v>
      </c>
    </row>
    <row r="462" spans="1:81" s="9" customFormat="1" ht="120" hidden="1" customHeight="1" x14ac:dyDescent="0.25">
      <c r="A462" s="2" t="s">
        <v>1196</v>
      </c>
      <c r="B462" s="2" t="s">
        <v>232</v>
      </c>
      <c r="C462" s="2" t="s">
        <v>74</v>
      </c>
      <c r="D462" s="12" t="s">
        <v>233</v>
      </c>
      <c r="E462" s="2" t="s">
        <v>234</v>
      </c>
      <c r="F462" s="2" t="s">
        <v>65</v>
      </c>
      <c r="G462" s="2" t="s">
        <v>2035</v>
      </c>
      <c r="H462" s="2" t="s">
        <v>77</v>
      </c>
      <c r="I462" s="2" t="s">
        <v>78</v>
      </c>
      <c r="J462" s="2" t="s">
        <v>235</v>
      </c>
      <c r="K462" s="2" t="s">
        <v>67</v>
      </c>
      <c r="L462" s="16">
        <v>224628.03</v>
      </c>
      <c r="M462" s="11">
        <v>93456</v>
      </c>
      <c r="N462" s="2" t="s">
        <v>39</v>
      </c>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c r="BE462" s="7"/>
      <c r="BF462" s="7"/>
      <c r="BG462" s="7"/>
      <c r="BH462" s="7"/>
      <c r="BI462" s="7"/>
      <c r="BJ462" s="7"/>
      <c r="BK462" s="7"/>
      <c r="BL462" s="7"/>
      <c r="BM462" s="7"/>
      <c r="BN462" s="7"/>
      <c r="BO462" s="7"/>
      <c r="BP462" s="7"/>
      <c r="BQ462" s="7"/>
      <c r="BR462" s="7"/>
      <c r="BS462" s="7">
        <v>93456</v>
      </c>
      <c r="BT462" s="7"/>
      <c r="BU462" s="7"/>
      <c r="BV462" s="7"/>
      <c r="BW462" s="2"/>
      <c r="BX462" s="8">
        <v>45779</v>
      </c>
      <c r="BY462" s="8"/>
      <c r="BZ462" s="21" t="s">
        <v>1760</v>
      </c>
      <c r="CA462" s="14">
        <f t="shared" si="51"/>
        <v>93456</v>
      </c>
      <c r="CB462" s="2" t="str">
        <f t="shared" si="52"/>
        <v>OK</v>
      </c>
      <c r="CC462" s="13">
        <f t="shared" si="53"/>
        <v>0</v>
      </c>
    </row>
    <row r="463" spans="1:81" s="9" customFormat="1" ht="110.1" hidden="1" customHeight="1" x14ac:dyDescent="0.25">
      <c r="A463" s="2" t="s">
        <v>1198</v>
      </c>
      <c r="B463" s="2" t="s">
        <v>240</v>
      </c>
      <c r="C463" s="2" t="s">
        <v>74</v>
      </c>
      <c r="D463" s="12" t="s">
        <v>241</v>
      </c>
      <c r="E463" s="2" t="s">
        <v>242</v>
      </c>
      <c r="F463" s="2" t="s">
        <v>65</v>
      </c>
      <c r="G463" s="2" t="s">
        <v>2035</v>
      </c>
      <c r="H463" s="2" t="s">
        <v>77</v>
      </c>
      <c r="I463" s="2" t="s">
        <v>78</v>
      </c>
      <c r="J463" s="2" t="s">
        <v>208</v>
      </c>
      <c r="K463" s="2" t="s">
        <v>67</v>
      </c>
      <c r="L463" s="16">
        <v>816829.2</v>
      </c>
      <c r="M463" s="11">
        <v>339840</v>
      </c>
      <c r="N463" s="2" t="s">
        <v>39</v>
      </c>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c r="BD463" s="7"/>
      <c r="BE463" s="7"/>
      <c r="BF463" s="7"/>
      <c r="BG463" s="7"/>
      <c r="BH463" s="7"/>
      <c r="BI463" s="7"/>
      <c r="BJ463" s="7"/>
      <c r="BK463" s="7"/>
      <c r="BL463" s="7"/>
      <c r="BM463" s="7"/>
      <c r="BN463" s="7"/>
      <c r="BO463" s="7"/>
      <c r="BP463" s="7"/>
      <c r="BQ463" s="7"/>
      <c r="BR463" s="7"/>
      <c r="BS463" s="7">
        <v>339840</v>
      </c>
      <c r="BT463" s="7"/>
      <c r="BU463" s="7"/>
      <c r="BV463" s="7"/>
      <c r="BW463" s="2"/>
      <c r="BX463" s="8">
        <v>45779</v>
      </c>
      <c r="BY463" s="8"/>
      <c r="BZ463" s="2" t="s">
        <v>1761</v>
      </c>
      <c r="CA463" s="14">
        <f t="shared" si="51"/>
        <v>339840</v>
      </c>
      <c r="CB463" s="2" t="str">
        <f t="shared" si="52"/>
        <v>OK</v>
      </c>
      <c r="CC463" s="13">
        <f t="shared" si="53"/>
        <v>0</v>
      </c>
    </row>
    <row r="464" spans="1:81" s="9" customFormat="1" ht="159" hidden="1" customHeight="1" x14ac:dyDescent="0.25">
      <c r="A464" s="2" t="s">
        <v>1200</v>
      </c>
      <c r="B464" s="2" t="s">
        <v>246</v>
      </c>
      <c r="C464" s="2" t="s">
        <v>74</v>
      </c>
      <c r="D464" s="12" t="s">
        <v>247</v>
      </c>
      <c r="E464" s="2" t="s">
        <v>248</v>
      </c>
      <c r="F464" s="2" t="s">
        <v>65</v>
      </c>
      <c r="G464" s="2" t="s">
        <v>2035</v>
      </c>
      <c r="H464" s="2" t="s">
        <v>77</v>
      </c>
      <c r="I464" s="2" t="s">
        <v>78</v>
      </c>
      <c r="J464" s="2" t="s">
        <v>249</v>
      </c>
      <c r="K464" s="2" t="s">
        <v>67</v>
      </c>
      <c r="L464" s="16">
        <v>1225243.8</v>
      </c>
      <c r="M464" s="11">
        <v>509760</v>
      </c>
      <c r="N464" s="2" t="s">
        <v>39</v>
      </c>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c r="BE464" s="7"/>
      <c r="BF464" s="7"/>
      <c r="BG464" s="7"/>
      <c r="BH464" s="7"/>
      <c r="BI464" s="7"/>
      <c r="BJ464" s="7"/>
      <c r="BK464" s="7"/>
      <c r="BL464" s="7"/>
      <c r="BM464" s="7"/>
      <c r="BN464" s="7"/>
      <c r="BO464" s="7"/>
      <c r="BP464" s="7"/>
      <c r="BQ464" s="7"/>
      <c r="BR464" s="7"/>
      <c r="BS464" s="7">
        <v>509760</v>
      </c>
      <c r="BT464" s="7"/>
      <c r="BU464" s="7"/>
      <c r="BV464" s="7"/>
      <c r="BW464" s="2"/>
      <c r="BX464" s="8">
        <v>45779</v>
      </c>
      <c r="BY464" s="8"/>
      <c r="BZ464" s="2"/>
      <c r="CA464" s="14">
        <f t="shared" si="51"/>
        <v>509760</v>
      </c>
      <c r="CB464" s="2" t="str">
        <f t="shared" si="52"/>
        <v>OK</v>
      </c>
      <c r="CC464" s="13">
        <f t="shared" si="53"/>
        <v>0</v>
      </c>
    </row>
    <row r="465" spans="1:81" s="9" customFormat="1" ht="67.5" hidden="1" customHeight="1" x14ac:dyDescent="0.25">
      <c r="A465" s="2" t="s">
        <v>1202</v>
      </c>
      <c r="B465" s="2" t="s">
        <v>253</v>
      </c>
      <c r="C465" s="2" t="s">
        <v>74</v>
      </c>
      <c r="D465" s="12" t="s">
        <v>254</v>
      </c>
      <c r="E465" s="2" t="s">
        <v>255</v>
      </c>
      <c r="F465" s="2" t="s">
        <v>65</v>
      </c>
      <c r="G465" s="2" t="s">
        <v>2035</v>
      </c>
      <c r="H465" s="2" t="s">
        <v>77</v>
      </c>
      <c r="I465" s="2" t="s">
        <v>78</v>
      </c>
      <c r="J465" s="2" t="s">
        <v>256</v>
      </c>
      <c r="K465" s="2" t="s">
        <v>67</v>
      </c>
      <c r="L465" s="16">
        <v>136138.20000000001</v>
      </c>
      <c r="M465" s="11">
        <v>56640</v>
      </c>
      <c r="N465" s="2" t="s">
        <v>39</v>
      </c>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c r="BB465" s="7"/>
      <c r="BC465" s="7"/>
      <c r="BD465" s="7"/>
      <c r="BE465" s="7"/>
      <c r="BF465" s="7"/>
      <c r="BG465" s="7"/>
      <c r="BH465" s="7"/>
      <c r="BI465" s="7"/>
      <c r="BJ465" s="7"/>
      <c r="BK465" s="7"/>
      <c r="BL465" s="7"/>
      <c r="BM465" s="7"/>
      <c r="BN465" s="7"/>
      <c r="BO465" s="7"/>
      <c r="BP465" s="7"/>
      <c r="BQ465" s="7"/>
      <c r="BR465" s="7"/>
      <c r="BS465" s="7">
        <v>56640</v>
      </c>
      <c r="BT465" s="7"/>
      <c r="BU465" s="7"/>
      <c r="BV465" s="7"/>
      <c r="BW465" s="2"/>
      <c r="BX465" s="8">
        <v>45779</v>
      </c>
      <c r="BY465" s="8"/>
      <c r="BZ465" s="8" t="s">
        <v>1762</v>
      </c>
      <c r="CA465" s="14">
        <f t="shared" si="51"/>
        <v>56640</v>
      </c>
      <c r="CB465" s="2" t="str">
        <f t="shared" si="52"/>
        <v>OK</v>
      </c>
      <c r="CC465" s="13">
        <f t="shared" si="53"/>
        <v>0</v>
      </c>
    </row>
    <row r="466" spans="1:81" s="9" customFormat="1" ht="65.25" hidden="1" customHeight="1" x14ac:dyDescent="0.25">
      <c r="A466" s="2" t="s">
        <v>1204</v>
      </c>
      <c r="B466" s="2" t="s">
        <v>261</v>
      </c>
      <c r="C466" s="2" t="s">
        <v>74</v>
      </c>
      <c r="D466" s="12" t="s">
        <v>262</v>
      </c>
      <c r="E466" s="2" t="s">
        <v>263</v>
      </c>
      <c r="F466" s="2" t="s">
        <v>65</v>
      </c>
      <c r="G466" s="2" t="s">
        <v>2035</v>
      </c>
      <c r="H466" s="2" t="s">
        <v>77</v>
      </c>
      <c r="I466" s="2" t="s">
        <v>78</v>
      </c>
      <c r="J466" s="2" t="s">
        <v>208</v>
      </c>
      <c r="K466" s="2" t="s">
        <v>67</v>
      </c>
      <c r="L466" s="16">
        <v>816829.2</v>
      </c>
      <c r="M466" s="11">
        <v>339840</v>
      </c>
      <c r="N466" s="2" t="s">
        <v>39</v>
      </c>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c r="BA466" s="7"/>
      <c r="BB466" s="7"/>
      <c r="BC466" s="7"/>
      <c r="BD466" s="7"/>
      <c r="BE466" s="7"/>
      <c r="BF466" s="7"/>
      <c r="BG466" s="7"/>
      <c r="BH466" s="7"/>
      <c r="BI466" s="7"/>
      <c r="BJ466" s="7"/>
      <c r="BK466" s="7"/>
      <c r="BL466" s="7"/>
      <c r="BM466" s="7"/>
      <c r="BN466" s="7"/>
      <c r="BO466" s="7"/>
      <c r="BP466" s="7"/>
      <c r="BQ466" s="7"/>
      <c r="BR466" s="7"/>
      <c r="BS466" s="7">
        <v>339840</v>
      </c>
      <c r="BT466" s="7"/>
      <c r="BU466" s="7"/>
      <c r="BV466" s="7"/>
      <c r="BW466" s="2"/>
      <c r="BX466" s="8">
        <v>45779</v>
      </c>
      <c r="BY466" s="8"/>
      <c r="BZ466" s="2"/>
      <c r="CA466" s="14">
        <f t="shared" si="51"/>
        <v>339840</v>
      </c>
      <c r="CB466" s="2" t="str">
        <f t="shared" si="52"/>
        <v>OK</v>
      </c>
      <c r="CC466" s="13">
        <f t="shared" si="53"/>
        <v>0</v>
      </c>
    </row>
    <row r="467" spans="1:81" s="9" customFormat="1" ht="87" hidden="1" customHeight="1" x14ac:dyDescent="0.25">
      <c r="A467" s="2" t="s">
        <v>1403</v>
      </c>
      <c r="B467" s="2" t="s">
        <v>941</v>
      </c>
      <c r="C467" s="2" t="s">
        <v>715</v>
      </c>
      <c r="D467" s="12" t="s">
        <v>942</v>
      </c>
      <c r="E467" s="2"/>
      <c r="F467" s="2" t="s">
        <v>72</v>
      </c>
      <c r="G467" s="2" t="s">
        <v>2035</v>
      </c>
      <c r="H467" s="2" t="s">
        <v>77</v>
      </c>
      <c r="I467" s="2" t="s">
        <v>943</v>
      </c>
      <c r="J467" s="2" t="s">
        <v>944</v>
      </c>
      <c r="K467" s="2" t="s">
        <v>67</v>
      </c>
      <c r="L467" s="16">
        <v>352020</v>
      </c>
      <c r="M467" s="11">
        <v>247970</v>
      </c>
      <c r="N467" s="2" t="s">
        <v>14</v>
      </c>
      <c r="O467" s="7">
        <v>0</v>
      </c>
      <c r="P467" s="7"/>
      <c r="Q467" s="7"/>
      <c r="R467" s="7"/>
      <c r="S467" s="7"/>
      <c r="T467" s="7"/>
      <c r="U467" s="7"/>
      <c r="V467" s="7"/>
      <c r="W467" s="7"/>
      <c r="X467" s="7"/>
      <c r="Y467" s="7"/>
      <c r="Z467" s="7"/>
      <c r="AA467" s="7">
        <v>247970</v>
      </c>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c r="BB467" s="7"/>
      <c r="BC467" s="7"/>
      <c r="BD467" s="7"/>
      <c r="BE467" s="7"/>
      <c r="BF467" s="7"/>
      <c r="BG467" s="7"/>
      <c r="BH467" s="7"/>
      <c r="BI467" s="7"/>
      <c r="BJ467" s="7"/>
      <c r="BK467" s="7"/>
      <c r="BL467" s="7"/>
      <c r="BM467" s="7"/>
      <c r="BN467" s="7"/>
      <c r="BO467" s="7"/>
      <c r="BP467" s="7"/>
      <c r="BQ467" s="7"/>
      <c r="BR467" s="7"/>
      <c r="BS467" s="7"/>
      <c r="BT467" s="7"/>
      <c r="BU467" s="7"/>
      <c r="BV467" s="7"/>
      <c r="BW467" s="2"/>
      <c r="BX467" s="8">
        <v>45806</v>
      </c>
      <c r="BY467" s="8"/>
      <c r="BZ467" s="8" t="s">
        <v>1763</v>
      </c>
      <c r="CA467" s="14">
        <f t="shared" si="51"/>
        <v>247970</v>
      </c>
      <c r="CB467" s="2" t="str">
        <f t="shared" si="52"/>
        <v>OK</v>
      </c>
      <c r="CC467" s="13">
        <f t="shared" si="53"/>
        <v>0</v>
      </c>
    </row>
    <row r="468" spans="1:81" s="9" customFormat="1" ht="90.75" hidden="1" customHeight="1" x14ac:dyDescent="0.25">
      <c r="A468" s="2" t="s">
        <v>1162</v>
      </c>
      <c r="B468" s="2" t="s">
        <v>104</v>
      </c>
      <c r="C468" s="2" t="s">
        <v>74</v>
      </c>
      <c r="D468" s="12" t="s">
        <v>105</v>
      </c>
      <c r="E468" s="3" t="s">
        <v>106</v>
      </c>
      <c r="F468" s="2" t="s">
        <v>65</v>
      </c>
      <c r="G468" s="2" t="s">
        <v>2035</v>
      </c>
      <c r="H468" s="2" t="s">
        <v>77</v>
      </c>
      <c r="I468" s="2" t="s">
        <v>78</v>
      </c>
      <c r="J468" s="2" t="s">
        <v>107</v>
      </c>
      <c r="K468" s="2" t="s">
        <v>67</v>
      </c>
      <c r="L468" s="16">
        <v>272276.40000000002</v>
      </c>
      <c r="M468" s="11">
        <v>113280</v>
      </c>
      <c r="N468" s="2" t="s">
        <v>39</v>
      </c>
      <c r="O468" s="7">
        <v>0</v>
      </c>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c r="BA468" s="7"/>
      <c r="BB468" s="7"/>
      <c r="BC468" s="7"/>
      <c r="BD468" s="7"/>
      <c r="BE468" s="7"/>
      <c r="BF468" s="7"/>
      <c r="BG468" s="7"/>
      <c r="BH468" s="7"/>
      <c r="BI468" s="7"/>
      <c r="BJ468" s="7"/>
      <c r="BK468" s="7"/>
      <c r="BL468" s="7"/>
      <c r="BM468" s="7"/>
      <c r="BN468" s="7"/>
      <c r="BO468" s="7"/>
      <c r="BP468" s="7"/>
      <c r="BQ468" s="7"/>
      <c r="BR468" s="7"/>
      <c r="BS468" s="7">
        <v>113280</v>
      </c>
      <c r="BT468" s="7"/>
      <c r="BU468" s="7"/>
      <c r="BV468" s="7"/>
      <c r="BW468" s="2"/>
      <c r="BX468" s="8">
        <v>45810</v>
      </c>
      <c r="BY468" s="8"/>
      <c r="BZ468" s="2" t="s">
        <v>1764</v>
      </c>
      <c r="CA468" s="14">
        <f t="shared" si="51"/>
        <v>113280</v>
      </c>
      <c r="CB468" s="2" t="str">
        <f t="shared" si="52"/>
        <v>OK</v>
      </c>
      <c r="CC468" s="13">
        <f t="shared" si="53"/>
        <v>0</v>
      </c>
    </row>
    <row r="469" spans="1:81" s="9" customFormat="1" ht="84.75" hidden="1" customHeight="1" x14ac:dyDescent="0.25">
      <c r="A469" s="2" t="s">
        <v>1163</v>
      </c>
      <c r="B469" s="2" t="s">
        <v>108</v>
      </c>
      <c r="C469" s="2" t="s">
        <v>74</v>
      </c>
      <c r="D469" s="12" t="s">
        <v>109</v>
      </c>
      <c r="E469" s="2" t="s">
        <v>110</v>
      </c>
      <c r="F469" s="2" t="s">
        <v>65</v>
      </c>
      <c r="G469" s="2" t="s">
        <v>2035</v>
      </c>
      <c r="H469" s="2" t="s">
        <v>77</v>
      </c>
      <c r="I469" s="2" t="s">
        <v>78</v>
      </c>
      <c r="J469" s="2" t="s">
        <v>111</v>
      </c>
      <c r="K469" s="2" t="s">
        <v>67</v>
      </c>
      <c r="L469" s="16">
        <v>346533.6</v>
      </c>
      <c r="M469" s="11">
        <v>226560</v>
      </c>
      <c r="N469" s="2" t="s">
        <v>39</v>
      </c>
      <c r="O469" s="7">
        <v>0</v>
      </c>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c r="BA469" s="7"/>
      <c r="BB469" s="7"/>
      <c r="BC469" s="7"/>
      <c r="BD469" s="7"/>
      <c r="BE469" s="7"/>
      <c r="BF469" s="7"/>
      <c r="BG469" s="7"/>
      <c r="BH469" s="7"/>
      <c r="BI469" s="7"/>
      <c r="BJ469" s="7"/>
      <c r="BK469" s="7"/>
      <c r="BL469" s="7"/>
      <c r="BM469" s="7"/>
      <c r="BN469" s="7"/>
      <c r="BO469" s="7"/>
      <c r="BP469" s="7"/>
      <c r="BQ469" s="7"/>
      <c r="BR469" s="7"/>
      <c r="BS469" s="7">
        <v>226560</v>
      </c>
      <c r="BT469" s="7"/>
      <c r="BU469" s="7"/>
      <c r="BV469" s="7"/>
      <c r="BW469" s="2"/>
      <c r="BX469" s="8">
        <v>45810</v>
      </c>
      <c r="BY469" s="8"/>
      <c r="BZ469" s="8"/>
      <c r="CA469" s="14">
        <f t="shared" ref="CA469:CA481" si="54">SUM(O469:BV469)</f>
        <v>226560</v>
      </c>
      <c r="CB469" s="2" t="str">
        <f t="shared" ref="CB469:CB481" si="55">IF(M469=CA469,"OK","CORRIGIR")</f>
        <v>OK</v>
      </c>
      <c r="CC469" s="13">
        <f t="shared" ref="CC469:CC481" si="56">M469-CA469</f>
        <v>0</v>
      </c>
    </row>
    <row r="470" spans="1:81" s="9" customFormat="1" ht="120" hidden="1" customHeight="1" x14ac:dyDescent="0.25">
      <c r="A470" s="2" t="s">
        <v>1164</v>
      </c>
      <c r="B470" s="2" t="s">
        <v>112</v>
      </c>
      <c r="C470" s="2" t="s">
        <v>74</v>
      </c>
      <c r="D470" s="12" t="s">
        <v>113</v>
      </c>
      <c r="E470" s="2" t="s">
        <v>114</v>
      </c>
      <c r="F470" s="2" t="s">
        <v>65</v>
      </c>
      <c r="G470" s="2" t="s">
        <v>2035</v>
      </c>
      <c r="H470" s="2" t="s">
        <v>77</v>
      </c>
      <c r="I470" s="2" t="s">
        <v>78</v>
      </c>
      <c r="J470" s="2" t="s">
        <v>115</v>
      </c>
      <c r="K470" s="2" t="s">
        <v>67</v>
      </c>
      <c r="L470" s="16">
        <v>557031.48</v>
      </c>
      <c r="M470" s="11">
        <v>339840</v>
      </c>
      <c r="N470" s="2" t="s">
        <v>39</v>
      </c>
      <c r="O470" s="7">
        <v>0</v>
      </c>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c r="BB470" s="7"/>
      <c r="BC470" s="7"/>
      <c r="BD470" s="7"/>
      <c r="BE470" s="7"/>
      <c r="BF470" s="7"/>
      <c r="BG470" s="7"/>
      <c r="BH470" s="7"/>
      <c r="BI470" s="7"/>
      <c r="BJ470" s="7"/>
      <c r="BK470" s="7"/>
      <c r="BL470" s="7"/>
      <c r="BM470" s="7"/>
      <c r="BN470" s="7"/>
      <c r="BO470" s="7"/>
      <c r="BP470" s="7"/>
      <c r="BQ470" s="7"/>
      <c r="BR470" s="7"/>
      <c r="BS470" s="7">
        <v>339840</v>
      </c>
      <c r="BT470" s="7"/>
      <c r="BU470" s="7"/>
      <c r="BV470" s="7"/>
      <c r="BW470" s="2"/>
      <c r="BX470" s="8">
        <v>45810</v>
      </c>
      <c r="BY470" s="8"/>
      <c r="BZ470" s="15"/>
      <c r="CA470" s="14">
        <f t="shared" si="54"/>
        <v>339840</v>
      </c>
      <c r="CB470" s="2" t="str">
        <f t="shared" si="55"/>
        <v>OK</v>
      </c>
      <c r="CC470" s="13">
        <f t="shared" si="56"/>
        <v>0</v>
      </c>
    </row>
    <row r="471" spans="1:81" s="9" customFormat="1" ht="120" hidden="1" customHeight="1" x14ac:dyDescent="0.25">
      <c r="A471" s="2" t="s">
        <v>1165</v>
      </c>
      <c r="B471" s="2" t="s">
        <v>116</v>
      </c>
      <c r="C471" s="2" t="s">
        <v>74</v>
      </c>
      <c r="D471" s="12" t="s">
        <v>117</v>
      </c>
      <c r="E471" s="2" t="s">
        <v>118</v>
      </c>
      <c r="F471" s="2" t="s">
        <v>65</v>
      </c>
      <c r="G471" s="2" t="s">
        <v>2035</v>
      </c>
      <c r="H471" s="2" t="s">
        <v>77</v>
      </c>
      <c r="I471" s="2" t="s">
        <v>78</v>
      </c>
      <c r="J471" s="2" t="s">
        <v>119</v>
      </c>
      <c r="K471" s="2" t="s">
        <v>67</v>
      </c>
      <c r="L471" s="16">
        <v>209762</v>
      </c>
      <c r="M471" s="11">
        <v>56640</v>
      </c>
      <c r="N471" s="2" t="s">
        <v>39</v>
      </c>
      <c r="O471" s="7">
        <v>0</v>
      </c>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v>56640</v>
      </c>
      <c r="BT471" s="7"/>
      <c r="BU471" s="7"/>
      <c r="BV471" s="7"/>
      <c r="BW471" s="2"/>
      <c r="BX471" s="8">
        <v>45810</v>
      </c>
      <c r="BY471" s="8"/>
      <c r="BZ471" s="8"/>
      <c r="CA471" s="14">
        <f t="shared" si="54"/>
        <v>56640</v>
      </c>
      <c r="CB471" s="2" t="str">
        <f t="shared" si="55"/>
        <v>OK</v>
      </c>
      <c r="CC471" s="13">
        <f t="shared" si="56"/>
        <v>0</v>
      </c>
    </row>
    <row r="472" spans="1:81" s="9" customFormat="1" ht="97.5" hidden="1" customHeight="1" x14ac:dyDescent="0.25">
      <c r="A472" s="2" t="s">
        <v>1166</v>
      </c>
      <c r="B472" s="2" t="s">
        <v>120</v>
      </c>
      <c r="C472" s="2" t="s">
        <v>74</v>
      </c>
      <c r="D472" s="12" t="s">
        <v>121</v>
      </c>
      <c r="E472" s="2" t="s">
        <v>122</v>
      </c>
      <c r="F472" s="2" t="s">
        <v>65</v>
      </c>
      <c r="G472" s="2" t="s">
        <v>2035</v>
      </c>
      <c r="H472" s="2" t="s">
        <v>77</v>
      </c>
      <c r="I472" s="2" t="s">
        <v>78</v>
      </c>
      <c r="J472" s="2" t="s">
        <v>123</v>
      </c>
      <c r="K472" s="2" t="s">
        <v>67</v>
      </c>
      <c r="L472" s="16">
        <v>167327.35</v>
      </c>
      <c r="M472" s="11">
        <v>70800</v>
      </c>
      <c r="N472" s="2" t="s">
        <v>39</v>
      </c>
      <c r="O472" s="7">
        <v>0</v>
      </c>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v>70800</v>
      </c>
      <c r="BT472" s="7"/>
      <c r="BU472" s="7"/>
      <c r="BV472" s="7"/>
      <c r="BW472" s="2"/>
      <c r="BX472" s="8">
        <v>45810</v>
      </c>
      <c r="BY472" s="8"/>
      <c r="BZ472" s="8"/>
      <c r="CA472" s="14">
        <f t="shared" si="54"/>
        <v>70800</v>
      </c>
      <c r="CB472" s="2" t="str">
        <f t="shared" si="55"/>
        <v>OK</v>
      </c>
      <c r="CC472" s="13">
        <f t="shared" si="56"/>
        <v>0</v>
      </c>
    </row>
    <row r="473" spans="1:81" s="9" customFormat="1" ht="102" hidden="1" customHeight="1" x14ac:dyDescent="0.25">
      <c r="A473" s="2" t="s">
        <v>1167</v>
      </c>
      <c r="B473" s="2" t="s">
        <v>124</v>
      </c>
      <c r="C473" s="2" t="s">
        <v>74</v>
      </c>
      <c r="D473" s="12" t="s">
        <v>125</v>
      </c>
      <c r="E473" s="2" t="s">
        <v>126</v>
      </c>
      <c r="F473" s="2" t="s">
        <v>65</v>
      </c>
      <c r="G473" s="2" t="s">
        <v>2035</v>
      </c>
      <c r="H473" s="2" t="s">
        <v>77</v>
      </c>
      <c r="I473" s="2" t="s">
        <v>78</v>
      </c>
      <c r="J473" s="2" t="s">
        <v>127</v>
      </c>
      <c r="K473" s="2" t="s">
        <v>67</v>
      </c>
      <c r="L473" s="16">
        <v>3840732.9</v>
      </c>
      <c r="M473" s="11">
        <v>2548800</v>
      </c>
      <c r="N473" s="2" t="s">
        <v>39</v>
      </c>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v>2548800</v>
      </c>
      <c r="BT473" s="7"/>
      <c r="BU473" s="7"/>
      <c r="BV473" s="7"/>
      <c r="BW473" s="2"/>
      <c r="BX473" s="8">
        <v>45810</v>
      </c>
      <c r="BY473" s="8"/>
      <c r="BZ473" s="8"/>
      <c r="CA473" s="14">
        <f t="shared" si="54"/>
        <v>2548800</v>
      </c>
      <c r="CB473" s="2" t="str">
        <f t="shared" si="55"/>
        <v>OK</v>
      </c>
      <c r="CC473" s="13">
        <f t="shared" si="56"/>
        <v>0</v>
      </c>
    </row>
    <row r="474" spans="1:81" s="9" customFormat="1" ht="98.25" hidden="1" customHeight="1" x14ac:dyDescent="0.25">
      <c r="A474" s="2" t="s">
        <v>1168</v>
      </c>
      <c r="B474" s="2" t="s">
        <v>128</v>
      </c>
      <c r="C474" s="2" t="s">
        <v>74</v>
      </c>
      <c r="D474" s="12" t="s">
        <v>129</v>
      </c>
      <c r="E474" s="2" t="s">
        <v>130</v>
      </c>
      <c r="F474" s="2" t="s">
        <v>65</v>
      </c>
      <c r="G474" s="2" t="s">
        <v>2035</v>
      </c>
      <c r="H474" s="2" t="s">
        <v>77</v>
      </c>
      <c r="I474" s="2" t="s">
        <v>78</v>
      </c>
      <c r="J474" s="2" t="s">
        <v>131</v>
      </c>
      <c r="K474" s="2" t="s">
        <v>67</v>
      </c>
      <c r="L474" s="16">
        <v>519800.4</v>
      </c>
      <c r="M474" s="11">
        <v>396480</v>
      </c>
      <c r="N474" s="2" t="s">
        <v>39</v>
      </c>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c r="BA474" s="7"/>
      <c r="BB474" s="7"/>
      <c r="BC474" s="7"/>
      <c r="BD474" s="7"/>
      <c r="BE474" s="7"/>
      <c r="BF474" s="7"/>
      <c r="BG474" s="7"/>
      <c r="BH474" s="7"/>
      <c r="BI474" s="7"/>
      <c r="BJ474" s="7"/>
      <c r="BK474" s="7"/>
      <c r="BL474" s="7"/>
      <c r="BM474" s="7"/>
      <c r="BN474" s="7"/>
      <c r="BO474" s="7"/>
      <c r="BP474" s="7"/>
      <c r="BQ474" s="7"/>
      <c r="BR474" s="7"/>
      <c r="BS474" s="7">
        <v>396480</v>
      </c>
      <c r="BT474" s="7"/>
      <c r="BU474" s="7"/>
      <c r="BV474" s="7"/>
      <c r="BW474" s="2"/>
      <c r="BX474" s="8">
        <v>45810</v>
      </c>
      <c r="BY474" s="8"/>
      <c r="BZ474" s="8"/>
      <c r="CA474" s="14">
        <f t="shared" si="54"/>
        <v>396480</v>
      </c>
      <c r="CB474" s="2" t="str">
        <f t="shared" si="55"/>
        <v>OK</v>
      </c>
      <c r="CC474" s="13">
        <f t="shared" si="56"/>
        <v>0</v>
      </c>
    </row>
    <row r="475" spans="1:81" s="9" customFormat="1" ht="110.1" hidden="1" customHeight="1" x14ac:dyDescent="0.25">
      <c r="A475" s="2" t="s">
        <v>1173</v>
      </c>
      <c r="B475" s="2" t="s">
        <v>148</v>
      </c>
      <c r="C475" s="2" t="s">
        <v>74</v>
      </c>
      <c r="D475" s="12" t="s">
        <v>149</v>
      </c>
      <c r="E475" s="2" t="s">
        <v>150</v>
      </c>
      <c r="F475" s="2" t="s">
        <v>65</v>
      </c>
      <c r="G475" s="2" t="s">
        <v>2035</v>
      </c>
      <c r="H475" s="2" t="s">
        <v>77</v>
      </c>
      <c r="I475" s="2" t="s">
        <v>78</v>
      </c>
      <c r="J475" s="2" t="s">
        <v>151</v>
      </c>
      <c r="K475" s="2" t="s">
        <v>67</v>
      </c>
      <c r="L475" s="16">
        <v>239251.83</v>
      </c>
      <c r="M475" s="11">
        <v>198240</v>
      </c>
      <c r="N475" s="2" t="s">
        <v>39</v>
      </c>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c r="BA475" s="7"/>
      <c r="BB475" s="7"/>
      <c r="BC475" s="7"/>
      <c r="BD475" s="7"/>
      <c r="BE475" s="7"/>
      <c r="BF475" s="7"/>
      <c r="BG475" s="7"/>
      <c r="BH475" s="7"/>
      <c r="BI475" s="7"/>
      <c r="BJ475" s="7"/>
      <c r="BK475" s="7"/>
      <c r="BL475" s="7"/>
      <c r="BM475" s="7"/>
      <c r="BN475" s="7"/>
      <c r="BO475" s="7"/>
      <c r="BP475" s="7"/>
      <c r="BQ475" s="7"/>
      <c r="BR475" s="7"/>
      <c r="BS475" s="7">
        <v>198240</v>
      </c>
      <c r="BT475" s="7"/>
      <c r="BU475" s="7"/>
      <c r="BV475" s="7"/>
      <c r="BW475" s="2"/>
      <c r="BX475" s="8">
        <v>45810</v>
      </c>
      <c r="BY475" s="8"/>
      <c r="BZ475" s="8"/>
      <c r="CA475" s="14">
        <f t="shared" si="54"/>
        <v>198240</v>
      </c>
      <c r="CB475" s="2" t="str">
        <f t="shared" si="55"/>
        <v>OK</v>
      </c>
      <c r="CC475" s="13">
        <f t="shared" si="56"/>
        <v>0</v>
      </c>
    </row>
    <row r="476" spans="1:81" s="9" customFormat="1" ht="110.1" hidden="1" customHeight="1" x14ac:dyDescent="0.25">
      <c r="A476" s="2" t="s">
        <v>1174</v>
      </c>
      <c r="B476" s="2" t="s">
        <v>152</v>
      </c>
      <c r="C476" s="2" t="s">
        <v>74</v>
      </c>
      <c r="D476" s="12" t="s">
        <v>153</v>
      </c>
      <c r="E476" s="2" t="s">
        <v>154</v>
      </c>
      <c r="F476" s="2" t="s">
        <v>65</v>
      </c>
      <c r="G476" s="2" t="s">
        <v>2035</v>
      </c>
      <c r="H476" s="2" t="s">
        <v>77</v>
      </c>
      <c r="I476" s="2" t="s">
        <v>78</v>
      </c>
      <c r="J476" s="2" t="s">
        <v>115</v>
      </c>
      <c r="K476" s="2" t="s">
        <v>67</v>
      </c>
      <c r="L476" s="16">
        <v>544977.55000000005</v>
      </c>
      <c r="M476" s="11">
        <v>339840</v>
      </c>
      <c r="N476" s="2" t="s">
        <v>39</v>
      </c>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c r="BA476" s="7"/>
      <c r="BB476" s="7"/>
      <c r="BC476" s="7"/>
      <c r="BD476" s="7"/>
      <c r="BE476" s="7"/>
      <c r="BF476" s="7"/>
      <c r="BG476" s="7"/>
      <c r="BH476" s="7"/>
      <c r="BI476" s="7"/>
      <c r="BJ476" s="7"/>
      <c r="BK476" s="7"/>
      <c r="BL476" s="7"/>
      <c r="BM476" s="7"/>
      <c r="BN476" s="7"/>
      <c r="BO476" s="7"/>
      <c r="BP476" s="7"/>
      <c r="BQ476" s="7"/>
      <c r="BR476" s="7"/>
      <c r="BS476" s="7">
        <v>339840</v>
      </c>
      <c r="BT476" s="7"/>
      <c r="BU476" s="7"/>
      <c r="BV476" s="7"/>
      <c r="BW476" s="2"/>
      <c r="BX476" s="8">
        <v>45810</v>
      </c>
      <c r="BY476" s="8"/>
      <c r="BZ476" s="8" t="s">
        <v>1734</v>
      </c>
      <c r="CA476" s="14">
        <f t="shared" si="54"/>
        <v>339840</v>
      </c>
      <c r="CB476" s="2" t="str">
        <f t="shared" si="55"/>
        <v>OK</v>
      </c>
      <c r="CC476" s="13">
        <f t="shared" si="56"/>
        <v>0</v>
      </c>
    </row>
    <row r="477" spans="1:81" s="9" customFormat="1" ht="110.1" hidden="1" customHeight="1" x14ac:dyDescent="0.25">
      <c r="A477" s="2" t="s">
        <v>1175</v>
      </c>
      <c r="B477" s="2" t="s">
        <v>155</v>
      </c>
      <c r="C477" s="2" t="s">
        <v>74</v>
      </c>
      <c r="D477" s="12" t="s">
        <v>156</v>
      </c>
      <c r="E477" s="2" t="s">
        <v>157</v>
      </c>
      <c r="F477" s="2" t="s">
        <v>65</v>
      </c>
      <c r="G477" s="2" t="s">
        <v>2035</v>
      </c>
      <c r="H477" s="2" t="s">
        <v>77</v>
      </c>
      <c r="I477" s="2" t="s">
        <v>78</v>
      </c>
      <c r="J477" s="2" t="s">
        <v>158</v>
      </c>
      <c r="K477" s="2" t="s">
        <v>67</v>
      </c>
      <c r="L477" s="16">
        <v>918374.63</v>
      </c>
      <c r="M477" s="11">
        <v>455952</v>
      </c>
      <c r="N477" s="2" t="s">
        <v>39</v>
      </c>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c r="BA477" s="7"/>
      <c r="BB477" s="7"/>
      <c r="BC477" s="7"/>
      <c r="BD477" s="7"/>
      <c r="BE477" s="7"/>
      <c r="BF477" s="7"/>
      <c r="BG477" s="7"/>
      <c r="BH477" s="7"/>
      <c r="BI477" s="7"/>
      <c r="BJ477" s="7"/>
      <c r="BK477" s="7"/>
      <c r="BL477" s="7"/>
      <c r="BM477" s="7"/>
      <c r="BN477" s="7"/>
      <c r="BO477" s="7"/>
      <c r="BP477" s="7"/>
      <c r="BQ477" s="7"/>
      <c r="BR477" s="7"/>
      <c r="BS477" s="7">
        <v>455952</v>
      </c>
      <c r="BT477" s="7"/>
      <c r="BU477" s="7"/>
      <c r="BV477" s="7"/>
      <c r="BW477" s="2"/>
      <c r="BX477" s="8">
        <v>45810</v>
      </c>
      <c r="BY477" s="8"/>
      <c r="BZ477" s="2"/>
      <c r="CA477" s="14">
        <f t="shared" si="54"/>
        <v>455952</v>
      </c>
      <c r="CB477" s="2" t="str">
        <f t="shared" si="55"/>
        <v>OK</v>
      </c>
      <c r="CC477" s="13">
        <f t="shared" si="56"/>
        <v>0</v>
      </c>
    </row>
    <row r="478" spans="1:81" s="9" customFormat="1" ht="120" hidden="1" customHeight="1" x14ac:dyDescent="0.25">
      <c r="A478" s="2" t="s">
        <v>1176</v>
      </c>
      <c r="B478" s="2" t="s">
        <v>159</v>
      </c>
      <c r="C478" s="2" t="s">
        <v>74</v>
      </c>
      <c r="D478" s="12" t="s">
        <v>160</v>
      </c>
      <c r="E478" s="3" t="s">
        <v>161</v>
      </c>
      <c r="F478" s="2" t="s">
        <v>65</v>
      </c>
      <c r="G478" s="2" t="s">
        <v>2035</v>
      </c>
      <c r="H478" s="2" t="s">
        <v>77</v>
      </c>
      <c r="I478" s="2" t="s">
        <v>78</v>
      </c>
      <c r="J478" s="2" t="s">
        <v>115</v>
      </c>
      <c r="K478" s="2" t="s">
        <v>67</v>
      </c>
      <c r="L478" s="16">
        <v>816829.2</v>
      </c>
      <c r="M478" s="11">
        <v>339840</v>
      </c>
      <c r="N478" s="2" t="s">
        <v>39</v>
      </c>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c r="BA478" s="7"/>
      <c r="BB478" s="7"/>
      <c r="BC478" s="7"/>
      <c r="BD478" s="7"/>
      <c r="BE478" s="7"/>
      <c r="BF478" s="7"/>
      <c r="BG478" s="7"/>
      <c r="BH478" s="7"/>
      <c r="BI478" s="7"/>
      <c r="BJ478" s="7"/>
      <c r="BK478" s="7"/>
      <c r="BL478" s="7"/>
      <c r="BM478" s="7"/>
      <c r="BN478" s="7"/>
      <c r="BO478" s="7"/>
      <c r="BP478" s="7"/>
      <c r="BQ478" s="7"/>
      <c r="BR478" s="7"/>
      <c r="BS478" s="7">
        <v>339840</v>
      </c>
      <c r="BT478" s="7"/>
      <c r="BU478" s="7"/>
      <c r="BV478" s="7"/>
      <c r="BW478" s="2"/>
      <c r="BX478" s="8">
        <v>45810</v>
      </c>
      <c r="BY478" s="8"/>
      <c r="BZ478" s="8" t="s">
        <v>1751</v>
      </c>
      <c r="CA478" s="14">
        <f t="shared" si="54"/>
        <v>339840</v>
      </c>
      <c r="CB478" s="2" t="str">
        <f t="shared" si="55"/>
        <v>OK</v>
      </c>
      <c r="CC478" s="13">
        <f t="shared" si="56"/>
        <v>0</v>
      </c>
    </row>
    <row r="479" spans="1:81" s="9" customFormat="1" ht="110.1" hidden="1" customHeight="1" x14ac:dyDescent="0.25">
      <c r="A479" s="2" t="s">
        <v>1177</v>
      </c>
      <c r="B479" s="2" t="s">
        <v>162</v>
      </c>
      <c r="C479" s="2" t="s">
        <v>74</v>
      </c>
      <c r="D479" s="12" t="s">
        <v>163</v>
      </c>
      <c r="E479" s="2" t="s">
        <v>164</v>
      </c>
      <c r="F479" s="2" t="s">
        <v>65</v>
      </c>
      <c r="G479" s="2" t="s">
        <v>2035</v>
      </c>
      <c r="H479" s="2" t="s">
        <v>77</v>
      </c>
      <c r="I479" s="2" t="s">
        <v>78</v>
      </c>
      <c r="J479" s="2" t="s">
        <v>165</v>
      </c>
      <c r="K479" s="2" t="s">
        <v>67</v>
      </c>
      <c r="L479" s="16">
        <v>2840716.6</v>
      </c>
      <c r="M479" s="11">
        <v>1132800</v>
      </c>
      <c r="N479" s="2" t="s">
        <v>39</v>
      </c>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c r="BA479" s="7"/>
      <c r="BB479" s="7"/>
      <c r="BC479" s="7"/>
      <c r="BD479" s="7"/>
      <c r="BE479" s="7"/>
      <c r="BF479" s="7"/>
      <c r="BG479" s="7"/>
      <c r="BH479" s="7"/>
      <c r="BI479" s="7"/>
      <c r="BJ479" s="7"/>
      <c r="BK479" s="7"/>
      <c r="BL479" s="7"/>
      <c r="BM479" s="7"/>
      <c r="BN479" s="7"/>
      <c r="BO479" s="7"/>
      <c r="BP479" s="7"/>
      <c r="BQ479" s="7"/>
      <c r="BR479" s="7"/>
      <c r="BS479" s="7">
        <v>1132800</v>
      </c>
      <c r="BT479" s="7"/>
      <c r="BU479" s="7"/>
      <c r="BV479" s="7"/>
      <c r="BW479" s="2"/>
      <c r="BX479" s="8">
        <v>45810</v>
      </c>
      <c r="BY479" s="8"/>
      <c r="BZ479" s="8"/>
      <c r="CA479" s="14">
        <f t="shared" si="54"/>
        <v>1132800</v>
      </c>
      <c r="CB479" s="2" t="str">
        <f t="shared" si="55"/>
        <v>OK</v>
      </c>
      <c r="CC479" s="13">
        <f t="shared" si="56"/>
        <v>0</v>
      </c>
    </row>
    <row r="480" spans="1:81" s="9" customFormat="1" ht="100.5" hidden="1" customHeight="1" x14ac:dyDescent="0.25">
      <c r="A480" s="2" t="s">
        <v>1178</v>
      </c>
      <c r="B480" s="2" t="s">
        <v>166</v>
      </c>
      <c r="C480" s="2" t="s">
        <v>74</v>
      </c>
      <c r="D480" s="12" t="s">
        <v>167</v>
      </c>
      <c r="E480" s="3" t="s">
        <v>168</v>
      </c>
      <c r="F480" s="2" t="s">
        <v>65</v>
      </c>
      <c r="G480" s="2" t="s">
        <v>2035</v>
      </c>
      <c r="H480" s="2" t="s">
        <v>77</v>
      </c>
      <c r="I480" s="2" t="s">
        <v>78</v>
      </c>
      <c r="J480" s="2" t="s">
        <v>111</v>
      </c>
      <c r="K480" s="2" t="s">
        <v>67</v>
      </c>
      <c r="L480" s="16">
        <v>544552.80000000005</v>
      </c>
      <c r="M480" s="11">
        <v>226560</v>
      </c>
      <c r="N480" s="2" t="s">
        <v>39</v>
      </c>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c r="BA480" s="7"/>
      <c r="BB480" s="7"/>
      <c r="BC480" s="7"/>
      <c r="BD480" s="7"/>
      <c r="BE480" s="7"/>
      <c r="BF480" s="7"/>
      <c r="BG480" s="7"/>
      <c r="BH480" s="7"/>
      <c r="BI480" s="7"/>
      <c r="BJ480" s="7"/>
      <c r="BK480" s="7"/>
      <c r="BL480" s="7"/>
      <c r="BM480" s="7"/>
      <c r="BN480" s="7"/>
      <c r="BO480" s="7"/>
      <c r="BP480" s="7"/>
      <c r="BQ480" s="7"/>
      <c r="BR480" s="7"/>
      <c r="BS480" s="7">
        <v>226560</v>
      </c>
      <c r="BT480" s="7"/>
      <c r="BU480" s="7"/>
      <c r="BV480" s="7"/>
      <c r="BW480" s="2"/>
      <c r="BX480" s="8">
        <v>45810</v>
      </c>
      <c r="BY480" s="8"/>
      <c r="BZ480" s="8"/>
      <c r="CA480" s="14">
        <f t="shared" si="54"/>
        <v>226560</v>
      </c>
      <c r="CB480" s="2" t="str">
        <f t="shared" si="55"/>
        <v>OK</v>
      </c>
      <c r="CC480" s="13">
        <f t="shared" si="56"/>
        <v>0</v>
      </c>
    </row>
    <row r="481" spans="1:81" s="9" customFormat="1" ht="110.1" hidden="1" customHeight="1" x14ac:dyDescent="0.25">
      <c r="A481" s="2" t="s">
        <v>1181</v>
      </c>
      <c r="B481" s="2" t="s">
        <v>177</v>
      </c>
      <c r="C481" s="2" t="s">
        <v>74</v>
      </c>
      <c r="D481" s="12" t="s">
        <v>178</v>
      </c>
      <c r="E481" s="3" t="s">
        <v>179</v>
      </c>
      <c r="F481" s="2" t="s">
        <v>65</v>
      </c>
      <c r="G481" s="2" t="s">
        <v>2035</v>
      </c>
      <c r="H481" s="2" t="s">
        <v>77</v>
      </c>
      <c r="I481" s="2" t="s">
        <v>78</v>
      </c>
      <c r="J481" s="2" t="s">
        <v>180</v>
      </c>
      <c r="K481" s="2" t="s">
        <v>67</v>
      </c>
      <c r="L481" s="16">
        <v>340346.5</v>
      </c>
      <c r="M481" s="11">
        <v>141600</v>
      </c>
      <c r="N481" s="2" t="s">
        <v>39</v>
      </c>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c r="BA481" s="7"/>
      <c r="BB481" s="7"/>
      <c r="BC481" s="7"/>
      <c r="BD481" s="7"/>
      <c r="BE481" s="7"/>
      <c r="BF481" s="7"/>
      <c r="BG481" s="7"/>
      <c r="BH481" s="7"/>
      <c r="BI481" s="7"/>
      <c r="BJ481" s="7"/>
      <c r="BK481" s="7"/>
      <c r="BL481" s="7"/>
      <c r="BM481" s="7"/>
      <c r="BN481" s="7"/>
      <c r="BO481" s="7"/>
      <c r="BP481" s="7"/>
      <c r="BQ481" s="7"/>
      <c r="BR481" s="7"/>
      <c r="BS481" s="7">
        <v>141600</v>
      </c>
      <c r="BT481" s="7"/>
      <c r="BU481" s="7"/>
      <c r="BV481" s="7"/>
      <c r="BW481" s="2"/>
      <c r="BX481" s="8">
        <v>45810</v>
      </c>
      <c r="BY481" s="8"/>
      <c r="BZ481" s="8"/>
      <c r="CA481" s="14">
        <f t="shared" si="54"/>
        <v>141600</v>
      </c>
      <c r="CB481" s="2" t="str">
        <f t="shared" si="55"/>
        <v>OK</v>
      </c>
      <c r="CC481" s="13">
        <f t="shared" si="56"/>
        <v>0</v>
      </c>
    </row>
    <row r="482" spans="1:81" s="9" customFormat="1" ht="110.1" hidden="1" customHeight="1" x14ac:dyDescent="0.25">
      <c r="A482" s="2" t="s">
        <v>1185</v>
      </c>
      <c r="B482" s="2" t="s">
        <v>191</v>
      </c>
      <c r="C482" s="2" t="s">
        <v>74</v>
      </c>
      <c r="D482" s="12" t="s">
        <v>192</v>
      </c>
      <c r="E482" s="2" t="s">
        <v>193</v>
      </c>
      <c r="F482" s="2" t="s">
        <v>65</v>
      </c>
      <c r="G482" s="2" t="s">
        <v>2035</v>
      </c>
      <c r="H482" s="2" t="s">
        <v>77</v>
      </c>
      <c r="I482" s="2" t="s">
        <v>78</v>
      </c>
      <c r="J482" s="2" t="s">
        <v>115</v>
      </c>
      <c r="K482" s="2" t="s">
        <v>67</v>
      </c>
      <c r="L482" s="16">
        <v>816829.2</v>
      </c>
      <c r="M482" s="11">
        <v>339840</v>
      </c>
      <c r="N482" s="2" t="s">
        <v>39</v>
      </c>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c r="BA482" s="7"/>
      <c r="BB482" s="7"/>
      <c r="BC482" s="7"/>
      <c r="BD482" s="7"/>
      <c r="BE482" s="7"/>
      <c r="BF482" s="7"/>
      <c r="BG482" s="7"/>
      <c r="BH482" s="7"/>
      <c r="BI482" s="7"/>
      <c r="BJ482" s="7"/>
      <c r="BK482" s="7"/>
      <c r="BL482" s="7"/>
      <c r="BM482" s="7"/>
      <c r="BN482" s="7"/>
      <c r="BO482" s="7"/>
      <c r="BP482" s="7"/>
      <c r="BQ482" s="7"/>
      <c r="BR482" s="7"/>
      <c r="BS482" s="7">
        <v>339840</v>
      </c>
      <c r="BT482" s="7"/>
      <c r="BU482" s="7"/>
      <c r="BV482" s="7"/>
      <c r="BW482" s="2"/>
      <c r="BX482" s="8">
        <v>45810</v>
      </c>
      <c r="BY482" s="8"/>
      <c r="BZ482" s="8"/>
      <c r="CA482" s="14"/>
      <c r="CB482" s="2"/>
      <c r="CC482" s="13"/>
    </row>
    <row r="483" spans="1:81" s="9" customFormat="1" ht="110.1" hidden="1" customHeight="1" x14ac:dyDescent="0.25">
      <c r="A483" s="2" t="s">
        <v>1187</v>
      </c>
      <c r="B483" s="2" t="s">
        <v>198</v>
      </c>
      <c r="C483" s="2" t="s">
        <v>74</v>
      </c>
      <c r="D483" s="12" t="s">
        <v>199</v>
      </c>
      <c r="E483" s="2" t="s">
        <v>200</v>
      </c>
      <c r="F483" s="2" t="s">
        <v>65</v>
      </c>
      <c r="G483" s="2" t="s">
        <v>2035</v>
      </c>
      <c r="H483" s="2" t="s">
        <v>77</v>
      </c>
      <c r="I483" s="2" t="s">
        <v>78</v>
      </c>
      <c r="J483" s="2" t="s">
        <v>201</v>
      </c>
      <c r="K483" s="2" t="s">
        <v>67</v>
      </c>
      <c r="L483" s="16">
        <v>372510.84</v>
      </c>
      <c r="M483" s="11">
        <v>147264</v>
      </c>
      <c r="N483" s="2" t="s">
        <v>39</v>
      </c>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c r="AZ483" s="7"/>
      <c r="BA483" s="7"/>
      <c r="BB483" s="7"/>
      <c r="BC483" s="7"/>
      <c r="BD483" s="7"/>
      <c r="BE483" s="7"/>
      <c r="BF483" s="7"/>
      <c r="BG483" s="7"/>
      <c r="BH483" s="7"/>
      <c r="BI483" s="7"/>
      <c r="BJ483" s="7"/>
      <c r="BK483" s="7"/>
      <c r="BL483" s="7"/>
      <c r="BM483" s="7"/>
      <c r="BN483" s="7"/>
      <c r="BO483" s="7"/>
      <c r="BP483" s="7"/>
      <c r="BQ483" s="7"/>
      <c r="BR483" s="7"/>
      <c r="BS483" s="7">
        <v>147264</v>
      </c>
      <c r="BT483" s="7"/>
      <c r="BU483" s="7"/>
      <c r="BV483" s="7"/>
      <c r="BW483" s="2"/>
      <c r="BX483" s="8">
        <v>45810</v>
      </c>
      <c r="BY483" s="8"/>
      <c r="BZ483" s="2"/>
      <c r="CA483" s="14">
        <f>SUM(O483:BV483)</f>
        <v>147264</v>
      </c>
      <c r="CB483" s="2" t="str">
        <f>IF(M483=CA483,"OK","CORRIGIR")</f>
        <v>OK</v>
      </c>
      <c r="CC483" s="13">
        <f>M483-CA483</f>
        <v>0</v>
      </c>
    </row>
    <row r="484" spans="1:81" s="9" customFormat="1" ht="96.75" hidden="1" customHeight="1" x14ac:dyDescent="0.25">
      <c r="A484" s="2" t="s">
        <v>1188</v>
      </c>
      <c r="B484" s="2" t="s">
        <v>202</v>
      </c>
      <c r="C484" s="2" t="s">
        <v>74</v>
      </c>
      <c r="D484" s="12" t="s">
        <v>203</v>
      </c>
      <c r="E484" s="2" t="s">
        <v>204</v>
      </c>
      <c r="F484" s="2" t="s">
        <v>65</v>
      </c>
      <c r="G484" s="2" t="s">
        <v>2035</v>
      </c>
      <c r="H484" s="2" t="s">
        <v>77</v>
      </c>
      <c r="I484" s="2" t="s">
        <v>78</v>
      </c>
      <c r="J484" s="2" t="s">
        <v>107</v>
      </c>
      <c r="K484" s="2" t="s">
        <v>67</v>
      </c>
      <c r="L484" s="16">
        <v>272275.40000000002</v>
      </c>
      <c r="M484" s="11">
        <v>113280</v>
      </c>
      <c r="N484" s="2" t="s">
        <v>39</v>
      </c>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c r="AZ484" s="7"/>
      <c r="BA484" s="7"/>
      <c r="BB484" s="7"/>
      <c r="BC484" s="7"/>
      <c r="BD484" s="7"/>
      <c r="BE484" s="7"/>
      <c r="BF484" s="7"/>
      <c r="BG484" s="7"/>
      <c r="BH484" s="7"/>
      <c r="BI484" s="7"/>
      <c r="BJ484" s="7"/>
      <c r="BK484" s="7"/>
      <c r="BL484" s="7"/>
      <c r="BM484" s="7"/>
      <c r="BN484" s="7"/>
      <c r="BO484" s="7"/>
      <c r="BP484" s="7"/>
      <c r="BQ484" s="7"/>
      <c r="BR484" s="7"/>
      <c r="BS484" s="7">
        <v>113280</v>
      </c>
      <c r="BT484" s="7"/>
      <c r="BU484" s="7"/>
      <c r="BV484" s="7"/>
      <c r="BW484" s="2"/>
      <c r="BX484" s="8">
        <v>45810</v>
      </c>
      <c r="BY484" s="8"/>
      <c r="BZ484" s="2"/>
      <c r="CA484" s="14">
        <f>SUM(O484:BV484)</f>
        <v>113280</v>
      </c>
      <c r="CB484" s="2" t="str">
        <f>IF(M484=CA484,"OK","CORRIGIR")</f>
        <v>OK</v>
      </c>
      <c r="CC484" s="13">
        <f>M484-CA484</f>
        <v>0</v>
      </c>
    </row>
    <row r="485" spans="1:81" s="9" customFormat="1" ht="110.1" hidden="1" customHeight="1" x14ac:dyDescent="0.25">
      <c r="A485" s="2" t="s">
        <v>1190</v>
      </c>
      <c r="B485" s="2" t="s">
        <v>209</v>
      </c>
      <c r="C485" s="2" t="s">
        <v>74</v>
      </c>
      <c r="D485" s="12" t="s">
        <v>210</v>
      </c>
      <c r="E485" s="2" t="s">
        <v>211</v>
      </c>
      <c r="F485" s="2" t="s">
        <v>65</v>
      </c>
      <c r="G485" s="2" t="s">
        <v>2035</v>
      </c>
      <c r="H485" s="2" t="s">
        <v>77</v>
      </c>
      <c r="I485" s="2" t="s">
        <v>78</v>
      </c>
      <c r="J485" s="2" t="s">
        <v>212</v>
      </c>
      <c r="K485" s="2" t="s">
        <v>67</v>
      </c>
      <c r="L485" s="16">
        <v>510518.25</v>
      </c>
      <c r="M485" s="11">
        <v>212400</v>
      </c>
      <c r="N485" s="2" t="s">
        <v>39</v>
      </c>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c r="BA485" s="7"/>
      <c r="BB485" s="7"/>
      <c r="BC485" s="7"/>
      <c r="BD485" s="7"/>
      <c r="BE485" s="7"/>
      <c r="BF485" s="7"/>
      <c r="BG485" s="7"/>
      <c r="BH485" s="7"/>
      <c r="BI485" s="7"/>
      <c r="BJ485" s="7"/>
      <c r="BK485" s="7"/>
      <c r="BL485" s="7"/>
      <c r="BM485" s="7"/>
      <c r="BN485" s="7"/>
      <c r="BO485" s="7"/>
      <c r="BP485" s="7"/>
      <c r="BQ485" s="7"/>
      <c r="BR485" s="7"/>
      <c r="BS485" s="7">
        <v>212400</v>
      </c>
      <c r="BT485" s="7"/>
      <c r="BU485" s="7"/>
      <c r="BV485" s="7"/>
      <c r="BW485" s="2"/>
      <c r="BX485" s="8">
        <v>45810</v>
      </c>
      <c r="BY485" s="8"/>
      <c r="BZ485" s="2"/>
      <c r="CA485" s="14">
        <f>SUM(O485:BV485)</f>
        <v>212400</v>
      </c>
      <c r="CB485" s="2" t="str">
        <f>IF(M485=CA485,"OK","CORRIGIR")</f>
        <v>OK</v>
      </c>
      <c r="CC485" s="13">
        <f>M485-CA485</f>
        <v>0</v>
      </c>
    </row>
    <row r="486" spans="1:81" s="9" customFormat="1" ht="110.1" hidden="1" customHeight="1" x14ac:dyDescent="0.25">
      <c r="A486" s="2" t="s">
        <v>1194</v>
      </c>
      <c r="B486" s="2" t="s">
        <v>225</v>
      </c>
      <c r="C486" s="2" t="s">
        <v>74</v>
      </c>
      <c r="D486" s="12" t="s">
        <v>226</v>
      </c>
      <c r="E486" s="2" t="s">
        <v>227</v>
      </c>
      <c r="F486" s="2" t="s">
        <v>65</v>
      </c>
      <c r="G486" s="2" t="s">
        <v>2035</v>
      </c>
      <c r="H486" s="2" t="s">
        <v>77</v>
      </c>
      <c r="I486" s="2" t="s">
        <v>78</v>
      </c>
      <c r="J486" s="2" t="s">
        <v>180</v>
      </c>
      <c r="K486" s="2" t="s">
        <v>67</v>
      </c>
      <c r="L486" s="16">
        <v>340345.5</v>
      </c>
      <c r="M486" s="11">
        <v>141600</v>
      </c>
      <c r="N486" s="2" t="s">
        <v>39</v>
      </c>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c r="BA486" s="7"/>
      <c r="BB486" s="7"/>
      <c r="BC486" s="7"/>
      <c r="BD486" s="7"/>
      <c r="BE486" s="7"/>
      <c r="BF486" s="7"/>
      <c r="BG486" s="7"/>
      <c r="BH486" s="7"/>
      <c r="BI486" s="7"/>
      <c r="BJ486" s="7"/>
      <c r="BK486" s="7"/>
      <c r="BL486" s="7"/>
      <c r="BM486" s="7"/>
      <c r="BN486" s="7"/>
      <c r="BO486" s="7"/>
      <c r="BP486" s="7"/>
      <c r="BQ486" s="7"/>
      <c r="BR486" s="7"/>
      <c r="BS486" s="7">
        <v>141600</v>
      </c>
      <c r="BT486" s="7"/>
      <c r="BU486" s="7"/>
      <c r="BV486" s="7"/>
      <c r="BW486" s="2"/>
      <c r="BX486" s="8">
        <v>45810</v>
      </c>
      <c r="BY486" s="8"/>
      <c r="BZ486" s="2" t="s">
        <v>1701</v>
      </c>
      <c r="CA486" s="14">
        <f>SUM(O486:BV486)</f>
        <v>141600</v>
      </c>
      <c r="CB486" s="2" t="str">
        <f>IF(M486=CA486,"OK","CORRIGIR")</f>
        <v>OK</v>
      </c>
      <c r="CC486" s="13">
        <f>M486-CA486</f>
        <v>0</v>
      </c>
    </row>
    <row r="487" spans="1:81" s="9" customFormat="1" ht="110.1" hidden="1" customHeight="1" x14ac:dyDescent="0.25">
      <c r="A487" s="2" t="s">
        <v>1197</v>
      </c>
      <c r="B487" s="2" t="s">
        <v>236</v>
      </c>
      <c r="C487" s="2" t="s">
        <v>74</v>
      </c>
      <c r="D487" s="12" t="s">
        <v>237</v>
      </c>
      <c r="E487" s="2" t="s">
        <v>238</v>
      </c>
      <c r="F487" s="2" t="s">
        <v>65</v>
      </c>
      <c r="G487" s="2" t="s">
        <v>2035</v>
      </c>
      <c r="H487" s="2" t="s">
        <v>77</v>
      </c>
      <c r="I487" s="2" t="s">
        <v>78</v>
      </c>
      <c r="J487" s="2" t="s">
        <v>239</v>
      </c>
      <c r="K487" s="2" t="s">
        <v>67</v>
      </c>
      <c r="L487" s="16">
        <v>748760.1</v>
      </c>
      <c r="M487" s="11">
        <v>311520</v>
      </c>
      <c r="N487" s="2" t="s">
        <v>39</v>
      </c>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c r="AZ487" s="7"/>
      <c r="BA487" s="7"/>
      <c r="BB487" s="7"/>
      <c r="BC487" s="7"/>
      <c r="BD487" s="7"/>
      <c r="BE487" s="7"/>
      <c r="BF487" s="7"/>
      <c r="BG487" s="7"/>
      <c r="BH487" s="7"/>
      <c r="BI487" s="7"/>
      <c r="BJ487" s="7"/>
      <c r="BK487" s="7"/>
      <c r="BL487" s="7"/>
      <c r="BM487" s="7"/>
      <c r="BN487" s="7"/>
      <c r="BO487" s="7"/>
      <c r="BP487" s="7"/>
      <c r="BQ487" s="7"/>
      <c r="BR487" s="7"/>
      <c r="BS487" s="7">
        <v>311520</v>
      </c>
      <c r="BT487" s="7"/>
      <c r="BU487" s="7"/>
      <c r="BV487" s="7"/>
      <c r="BW487" s="2"/>
      <c r="BX487" s="8">
        <v>45810</v>
      </c>
      <c r="BY487" s="8"/>
      <c r="BZ487" s="2"/>
      <c r="CA487" s="14"/>
      <c r="CB487" s="2"/>
      <c r="CC487" s="13"/>
    </row>
    <row r="488" spans="1:81" s="9" customFormat="1" ht="110.1" hidden="1" customHeight="1" x14ac:dyDescent="0.25">
      <c r="A488" s="2" t="s">
        <v>1199</v>
      </c>
      <c r="B488" s="2" t="s">
        <v>243</v>
      </c>
      <c r="C488" s="2" t="s">
        <v>74</v>
      </c>
      <c r="D488" s="12" t="s">
        <v>244</v>
      </c>
      <c r="E488" s="2" t="s">
        <v>245</v>
      </c>
      <c r="F488" s="2" t="s">
        <v>65</v>
      </c>
      <c r="G488" s="2" t="s">
        <v>2035</v>
      </c>
      <c r="H488" s="2" t="s">
        <v>77</v>
      </c>
      <c r="I488" s="2" t="s">
        <v>78</v>
      </c>
      <c r="J488" s="2" t="s">
        <v>107</v>
      </c>
      <c r="K488" s="2" t="s">
        <v>67</v>
      </c>
      <c r="L488" s="16">
        <v>280358.7</v>
      </c>
      <c r="M488" s="11">
        <v>113280</v>
      </c>
      <c r="N488" s="2" t="s">
        <v>39</v>
      </c>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c r="BA488" s="7"/>
      <c r="BB488" s="7"/>
      <c r="BC488" s="7"/>
      <c r="BD488" s="7"/>
      <c r="BE488" s="7"/>
      <c r="BF488" s="7"/>
      <c r="BG488" s="7"/>
      <c r="BH488" s="7"/>
      <c r="BI488" s="7"/>
      <c r="BJ488" s="7"/>
      <c r="BK488" s="7"/>
      <c r="BL488" s="7"/>
      <c r="BM488" s="7"/>
      <c r="BN488" s="7"/>
      <c r="BO488" s="7"/>
      <c r="BP488" s="7"/>
      <c r="BQ488" s="7"/>
      <c r="BR488" s="7"/>
      <c r="BS488" s="7">
        <v>113280</v>
      </c>
      <c r="BT488" s="7"/>
      <c r="BU488" s="7"/>
      <c r="BV488" s="7"/>
      <c r="BW488" s="2"/>
      <c r="BX488" s="8">
        <v>45810</v>
      </c>
      <c r="BY488" s="8"/>
      <c r="BZ488" s="2"/>
      <c r="CA488" s="14"/>
      <c r="CB488" s="2"/>
      <c r="CC488" s="13"/>
    </row>
    <row r="489" spans="1:81" s="9" customFormat="1" ht="110.1" hidden="1" customHeight="1" x14ac:dyDescent="0.25">
      <c r="A489" s="2" t="s">
        <v>1201</v>
      </c>
      <c r="B489" s="2" t="s">
        <v>250</v>
      </c>
      <c r="C489" s="2" t="s">
        <v>74</v>
      </c>
      <c r="D489" s="12" t="s">
        <v>251</v>
      </c>
      <c r="E489" s="2" t="s">
        <v>252</v>
      </c>
      <c r="F489" s="2" t="s">
        <v>65</v>
      </c>
      <c r="G489" s="2" t="s">
        <v>2035</v>
      </c>
      <c r="H489" s="2" t="s">
        <v>77</v>
      </c>
      <c r="I489" s="2" t="s">
        <v>78</v>
      </c>
      <c r="J489" s="2" t="s">
        <v>111</v>
      </c>
      <c r="K489" s="2" t="s">
        <v>67</v>
      </c>
      <c r="L489" s="16">
        <v>544552.80000000005</v>
      </c>
      <c r="M489" s="11">
        <v>226560</v>
      </c>
      <c r="N489" s="2" t="s">
        <v>39</v>
      </c>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c r="BA489" s="7"/>
      <c r="BB489" s="7"/>
      <c r="BC489" s="7"/>
      <c r="BD489" s="7"/>
      <c r="BE489" s="7"/>
      <c r="BF489" s="7"/>
      <c r="BG489" s="7"/>
      <c r="BH489" s="7"/>
      <c r="BI489" s="7"/>
      <c r="BJ489" s="7"/>
      <c r="BK489" s="7"/>
      <c r="BL489" s="7"/>
      <c r="BM489" s="7"/>
      <c r="BN489" s="7"/>
      <c r="BO489" s="7"/>
      <c r="BP489" s="7"/>
      <c r="BQ489" s="7"/>
      <c r="BR489" s="7"/>
      <c r="BS489" s="7">
        <v>226560</v>
      </c>
      <c r="BT489" s="7"/>
      <c r="BU489" s="7"/>
      <c r="BV489" s="7"/>
      <c r="BW489" s="2"/>
      <c r="BX489" s="8">
        <v>45810</v>
      </c>
      <c r="BY489" s="8"/>
      <c r="BZ489" s="8"/>
      <c r="CA489" s="14">
        <f t="shared" ref="CA489:CA496" si="57">SUM(O489:BV489)</f>
        <v>226560</v>
      </c>
      <c r="CB489" s="2" t="str">
        <f t="shared" ref="CB489:CB496" si="58">IF(M489=CA489,"OK","CORRIGIR")</f>
        <v>OK</v>
      </c>
      <c r="CC489" s="13">
        <f t="shared" ref="CC489:CC496" si="59">M489-CA489</f>
        <v>0</v>
      </c>
    </row>
    <row r="490" spans="1:81" s="9" customFormat="1" ht="110.1" hidden="1" customHeight="1" x14ac:dyDescent="0.25">
      <c r="A490" s="2" t="s">
        <v>1203</v>
      </c>
      <c r="B490" s="2" t="s">
        <v>257</v>
      </c>
      <c r="C490" s="2" t="s">
        <v>74</v>
      </c>
      <c r="D490" s="12" t="s">
        <v>258</v>
      </c>
      <c r="E490" s="2" t="s">
        <v>259</v>
      </c>
      <c r="F490" s="2" t="s">
        <v>65</v>
      </c>
      <c r="G490" s="2" t="s">
        <v>2035</v>
      </c>
      <c r="H490" s="2" t="s">
        <v>77</v>
      </c>
      <c r="I490" s="2" t="s">
        <v>78</v>
      </c>
      <c r="J490" s="2" t="s">
        <v>260</v>
      </c>
      <c r="K490" s="2" t="s">
        <v>67</v>
      </c>
      <c r="L490" s="16">
        <v>2042073</v>
      </c>
      <c r="M490" s="11">
        <v>849600</v>
      </c>
      <c r="N490" s="2" t="s">
        <v>39</v>
      </c>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c r="AT490" s="7"/>
      <c r="AU490" s="7"/>
      <c r="AV490" s="7"/>
      <c r="AW490" s="7"/>
      <c r="AX490" s="7"/>
      <c r="AY490" s="7"/>
      <c r="AZ490" s="7"/>
      <c r="BA490" s="7"/>
      <c r="BB490" s="7"/>
      <c r="BC490" s="7"/>
      <c r="BD490" s="7"/>
      <c r="BE490" s="7"/>
      <c r="BF490" s="7"/>
      <c r="BG490" s="7"/>
      <c r="BH490" s="7"/>
      <c r="BI490" s="7"/>
      <c r="BJ490" s="7"/>
      <c r="BK490" s="7"/>
      <c r="BL490" s="7"/>
      <c r="BM490" s="7"/>
      <c r="BN490" s="7"/>
      <c r="BO490" s="7"/>
      <c r="BP490" s="7"/>
      <c r="BQ490" s="7"/>
      <c r="BR490" s="7"/>
      <c r="BS490" s="7">
        <v>849600</v>
      </c>
      <c r="BT490" s="7"/>
      <c r="BU490" s="7"/>
      <c r="BV490" s="7"/>
      <c r="BW490" s="2"/>
      <c r="BX490" s="8">
        <v>45810</v>
      </c>
      <c r="BY490" s="8"/>
      <c r="BZ490" s="2"/>
      <c r="CA490" s="14">
        <f t="shared" si="57"/>
        <v>849600</v>
      </c>
      <c r="CB490" s="2" t="str">
        <f t="shared" si="58"/>
        <v>OK</v>
      </c>
      <c r="CC490" s="13">
        <f t="shared" si="59"/>
        <v>0</v>
      </c>
    </row>
    <row r="491" spans="1:81" s="9" customFormat="1" ht="108.75" hidden="1" customHeight="1" x14ac:dyDescent="0.25">
      <c r="A491" s="2" t="s">
        <v>1205</v>
      </c>
      <c r="B491" s="2" t="s">
        <v>264</v>
      </c>
      <c r="C491" s="2" t="s">
        <v>74</v>
      </c>
      <c r="D491" s="12" t="s">
        <v>265</v>
      </c>
      <c r="E491" s="2" t="s">
        <v>266</v>
      </c>
      <c r="F491" s="2" t="s">
        <v>65</v>
      </c>
      <c r="G491" s="2" t="s">
        <v>2035</v>
      </c>
      <c r="H491" s="2" t="s">
        <v>77</v>
      </c>
      <c r="I491" s="2" t="s">
        <v>78</v>
      </c>
      <c r="J491" s="2" t="s">
        <v>107</v>
      </c>
      <c r="K491" s="2" t="s">
        <v>67</v>
      </c>
      <c r="L491" s="16">
        <v>272276.40000000002</v>
      </c>
      <c r="M491" s="11">
        <v>113280</v>
      </c>
      <c r="N491" s="2" t="s">
        <v>39</v>
      </c>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c r="AZ491" s="7"/>
      <c r="BA491" s="7"/>
      <c r="BB491" s="7"/>
      <c r="BC491" s="7"/>
      <c r="BD491" s="7"/>
      <c r="BE491" s="7"/>
      <c r="BF491" s="7"/>
      <c r="BG491" s="7"/>
      <c r="BH491" s="7"/>
      <c r="BI491" s="7"/>
      <c r="BJ491" s="7"/>
      <c r="BK491" s="7"/>
      <c r="BL491" s="7"/>
      <c r="BM491" s="7"/>
      <c r="BN491" s="7"/>
      <c r="BO491" s="7"/>
      <c r="BP491" s="7"/>
      <c r="BQ491" s="7"/>
      <c r="BR491" s="7"/>
      <c r="BS491" s="7">
        <v>113280</v>
      </c>
      <c r="BT491" s="7"/>
      <c r="BU491" s="7"/>
      <c r="BV491" s="7"/>
      <c r="BW491" s="2"/>
      <c r="BX491" s="8">
        <v>45810</v>
      </c>
      <c r="BY491" s="8"/>
      <c r="BZ491" s="8" t="s">
        <v>1740</v>
      </c>
      <c r="CA491" s="14">
        <f t="shared" si="57"/>
        <v>113280</v>
      </c>
      <c r="CB491" s="2" t="str">
        <f t="shared" si="58"/>
        <v>OK</v>
      </c>
      <c r="CC491" s="13">
        <f t="shared" si="59"/>
        <v>0</v>
      </c>
    </row>
    <row r="492" spans="1:81" s="9" customFormat="1" ht="110.1" hidden="1" customHeight="1" x14ac:dyDescent="0.25">
      <c r="A492" s="2" t="s">
        <v>1206</v>
      </c>
      <c r="B492" s="2" t="s">
        <v>267</v>
      </c>
      <c r="C492" s="2" t="s">
        <v>74</v>
      </c>
      <c r="D492" s="12" t="s">
        <v>268</v>
      </c>
      <c r="E492" s="2" t="s">
        <v>269</v>
      </c>
      <c r="F492" s="2" t="s">
        <v>65</v>
      </c>
      <c r="G492" s="2" t="s">
        <v>2035</v>
      </c>
      <c r="H492" s="2" t="s">
        <v>77</v>
      </c>
      <c r="I492" s="2" t="s">
        <v>78</v>
      </c>
      <c r="J492" s="2" t="s">
        <v>270</v>
      </c>
      <c r="K492" s="2" t="s">
        <v>67</v>
      </c>
      <c r="L492" s="16">
        <v>1334154.3600000001</v>
      </c>
      <c r="M492" s="11">
        <v>555072</v>
      </c>
      <c r="N492" s="2" t="s">
        <v>39</v>
      </c>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c r="AZ492" s="7"/>
      <c r="BA492" s="7"/>
      <c r="BB492" s="7"/>
      <c r="BC492" s="7"/>
      <c r="BD492" s="7"/>
      <c r="BE492" s="7"/>
      <c r="BF492" s="7"/>
      <c r="BG492" s="7"/>
      <c r="BH492" s="7"/>
      <c r="BI492" s="7"/>
      <c r="BJ492" s="7"/>
      <c r="BK492" s="7"/>
      <c r="BL492" s="7"/>
      <c r="BM492" s="7"/>
      <c r="BN492" s="7"/>
      <c r="BO492" s="7"/>
      <c r="BP492" s="7"/>
      <c r="BQ492" s="7"/>
      <c r="BR492" s="7"/>
      <c r="BS492" s="7">
        <v>555072</v>
      </c>
      <c r="BT492" s="7"/>
      <c r="BU492" s="7"/>
      <c r="BV492" s="7"/>
      <c r="BW492" s="2"/>
      <c r="BX492" s="8">
        <v>45810</v>
      </c>
      <c r="BY492" s="8"/>
      <c r="BZ492" s="2"/>
      <c r="CA492" s="14">
        <f t="shared" si="57"/>
        <v>555072</v>
      </c>
      <c r="CB492" s="2" t="str">
        <f t="shared" si="58"/>
        <v>OK</v>
      </c>
      <c r="CC492" s="13">
        <f t="shared" si="59"/>
        <v>0</v>
      </c>
    </row>
    <row r="493" spans="1:81" s="9" customFormat="1" ht="110.1" hidden="1" customHeight="1" x14ac:dyDescent="0.25">
      <c r="A493" s="2" t="s">
        <v>1218</v>
      </c>
      <c r="B493" s="2" t="s">
        <v>297</v>
      </c>
      <c r="C493" s="2" t="s">
        <v>274</v>
      </c>
      <c r="D493" s="12" t="s">
        <v>298</v>
      </c>
      <c r="E493" s="2" t="s">
        <v>299</v>
      </c>
      <c r="F493" s="2" t="s">
        <v>72</v>
      </c>
      <c r="G493" s="2" t="s">
        <v>2035</v>
      </c>
      <c r="H493" s="2" t="s">
        <v>77</v>
      </c>
      <c r="I493" s="2" t="s">
        <v>5</v>
      </c>
      <c r="J493" s="23">
        <v>357584</v>
      </c>
      <c r="K493" s="2" t="s">
        <v>67</v>
      </c>
      <c r="L493" s="16">
        <v>1693015.69</v>
      </c>
      <c r="M493" s="22">
        <v>1693015.69</v>
      </c>
      <c r="N493" s="2" t="s">
        <v>40</v>
      </c>
      <c r="O493" s="7">
        <v>0</v>
      </c>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c r="AT493" s="7"/>
      <c r="AU493" s="7"/>
      <c r="AV493" s="7"/>
      <c r="AW493" s="7"/>
      <c r="AX493" s="7"/>
      <c r="AY493" s="7"/>
      <c r="AZ493" s="7"/>
      <c r="BA493" s="7"/>
      <c r="BB493" s="7"/>
      <c r="BC493" s="7"/>
      <c r="BD493" s="7"/>
      <c r="BE493" s="7"/>
      <c r="BF493" s="7"/>
      <c r="BG493" s="7"/>
      <c r="BH493" s="7"/>
      <c r="BI493" s="7"/>
      <c r="BJ493" s="7"/>
      <c r="BK493" s="7"/>
      <c r="BL493" s="7"/>
      <c r="BM493" s="7"/>
      <c r="BN493" s="7"/>
      <c r="BO493" s="7"/>
      <c r="BP493" s="7"/>
      <c r="BQ493" s="7"/>
      <c r="BR493" s="7"/>
      <c r="BS493" s="7"/>
      <c r="BT493" s="7">
        <v>1693015.69</v>
      </c>
      <c r="BU493" s="7"/>
      <c r="BV493" s="7"/>
      <c r="BW493" s="2"/>
      <c r="BX493" s="8">
        <v>45915</v>
      </c>
      <c r="BY493" s="8"/>
      <c r="BZ493" s="2"/>
      <c r="CA493" s="14">
        <f t="shared" si="57"/>
        <v>1693015.69</v>
      </c>
      <c r="CB493" s="2" t="str">
        <f t="shared" si="58"/>
        <v>OK</v>
      </c>
      <c r="CC493" s="13">
        <f t="shared" si="59"/>
        <v>0</v>
      </c>
    </row>
    <row r="494" spans="1:81" s="9" customFormat="1" ht="74.25" hidden="1" customHeight="1" x14ac:dyDescent="0.25">
      <c r="A494" s="2" t="s">
        <v>1591</v>
      </c>
      <c r="B494" s="2" t="s">
        <v>1110</v>
      </c>
      <c r="C494" s="2" t="s">
        <v>1041</v>
      </c>
      <c r="D494" s="12" t="s">
        <v>1111</v>
      </c>
      <c r="E494" s="2" t="s">
        <v>1112</v>
      </c>
      <c r="F494" s="2" t="s">
        <v>65</v>
      </c>
      <c r="G494" s="2" t="s">
        <v>2035</v>
      </c>
      <c r="H494" s="2" t="s">
        <v>77</v>
      </c>
      <c r="I494" s="15"/>
      <c r="J494" s="15"/>
      <c r="K494" s="2" t="s">
        <v>67</v>
      </c>
      <c r="L494" s="16">
        <v>17420184.129999999</v>
      </c>
      <c r="M494" s="11">
        <v>12020602.93</v>
      </c>
      <c r="N494" s="2" t="s">
        <v>43</v>
      </c>
      <c r="O494" s="7">
        <v>0</v>
      </c>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c r="AT494" s="7"/>
      <c r="AU494" s="7"/>
      <c r="AV494" s="7"/>
      <c r="AW494" s="7"/>
      <c r="AX494" s="7"/>
      <c r="AY494" s="7"/>
      <c r="AZ494" s="7">
        <v>12020602.93</v>
      </c>
      <c r="BA494" s="7"/>
      <c r="BB494" s="7"/>
      <c r="BC494" s="7"/>
      <c r="BD494" s="7"/>
      <c r="BE494" s="7"/>
      <c r="BF494" s="7"/>
      <c r="BG494" s="7"/>
      <c r="BH494" s="7"/>
      <c r="BI494" s="7"/>
      <c r="BJ494" s="7"/>
      <c r="BK494" s="7"/>
      <c r="BL494" s="7"/>
      <c r="BM494" s="7"/>
      <c r="BN494" s="7"/>
      <c r="BO494" s="7"/>
      <c r="BP494" s="7"/>
      <c r="BQ494" s="7"/>
      <c r="BR494" s="7"/>
      <c r="BS494" s="7"/>
      <c r="BT494" s="7"/>
      <c r="BU494" s="7"/>
      <c r="BV494" s="7"/>
      <c r="BW494" s="2"/>
      <c r="BX494" s="8">
        <v>46264</v>
      </c>
      <c r="BY494" s="8"/>
      <c r="BZ494" s="2"/>
      <c r="CA494" s="14">
        <f t="shared" si="57"/>
        <v>12020602.93</v>
      </c>
      <c r="CB494" s="2" t="str">
        <f t="shared" si="58"/>
        <v>OK</v>
      </c>
      <c r="CC494" s="13">
        <f t="shared" si="59"/>
        <v>0</v>
      </c>
    </row>
    <row r="495" spans="1:81" s="9" customFormat="1" ht="84.75" hidden="1" customHeight="1" x14ac:dyDescent="0.25">
      <c r="A495" s="2" t="s">
        <v>1340</v>
      </c>
      <c r="B495" s="2" t="s">
        <v>559</v>
      </c>
      <c r="C495" s="2" t="s">
        <v>552</v>
      </c>
      <c r="D495" s="12" t="s">
        <v>1792</v>
      </c>
      <c r="E495" s="2" t="s">
        <v>560</v>
      </c>
      <c r="F495" s="2" t="s">
        <v>72</v>
      </c>
      <c r="G495" s="2" t="s">
        <v>1788</v>
      </c>
      <c r="H495" s="2" t="s">
        <v>77</v>
      </c>
      <c r="I495" s="2" t="s">
        <v>1618</v>
      </c>
      <c r="J495" s="2" t="s">
        <v>1618</v>
      </c>
      <c r="K495" s="2" t="s">
        <v>67</v>
      </c>
      <c r="L495" s="16">
        <v>41552877.872000001</v>
      </c>
      <c r="M495" s="16">
        <v>18579762.368000001</v>
      </c>
      <c r="N495" s="2" t="s">
        <v>558</v>
      </c>
      <c r="O495" s="7"/>
      <c r="P495" s="7"/>
      <c r="Q495" s="7"/>
      <c r="R495" s="7"/>
      <c r="S495" s="7"/>
      <c r="T495" s="7"/>
      <c r="U495" s="7"/>
      <c r="V495" s="7"/>
      <c r="W495" s="7"/>
      <c r="X495" s="7"/>
      <c r="Y495" s="7"/>
      <c r="Z495" s="7"/>
      <c r="AA495" s="30">
        <v>557392.87104</v>
      </c>
      <c r="AB495" s="7"/>
      <c r="AC495" s="7"/>
      <c r="AD495" s="7"/>
      <c r="AE495" s="7"/>
      <c r="AF495" s="7"/>
      <c r="AG495" s="30">
        <v>7803500.1945599997</v>
      </c>
      <c r="AH495" s="30">
        <v>10218869.3024</v>
      </c>
      <c r="AI495" s="7"/>
      <c r="AJ495" s="7"/>
      <c r="AK495" s="7"/>
      <c r="AL495" s="7"/>
      <c r="AM495" s="7"/>
      <c r="AN495" s="7"/>
      <c r="AO495" s="7"/>
      <c r="AP495" s="7"/>
      <c r="AQ495" s="7"/>
      <c r="AR495" s="7"/>
      <c r="AS495" s="7"/>
      <c r="AT495" s="7"/>
      <c r="AU495" s="7"/>
      <c r="AV495" s="7"/>
      <c r="AW495" s="7"/>
      <c r="AX495" s="7"/>
      <c r="AY495" s="7"/>
      <c r="AZ495" s="7"/>
      <c r="BA495" s="7"/>
      <c r="BB495" s="7"/>
      <c r="BC495" s="7"/>
      <c r="BD495" s="7"/>
      <c r="BE495" s="7"/>
      <c r="BF495" s="7"/>
      <c r="BG495" s="7"/>
      <c r="BH495" s="7"/>
      <c r="BI495" s="7"/>
      <c r="BJ495" s="7"/>
      <c r="BK495" s="7"/>
      <c r="BL495" s="7"/>
      <c r="BM495" s="7"/>
      <c r="BN495" s="7"/>
      <c r="BO495" s="7"/>
      <c r="BP495" s="7"/>
      <c r="BQ495" s="7"/>
      <c r="BR495" s="7"/>
      <c r="BS495" s="7"/>
      <c r="BT495" s="7"/>
      <c r="BU495" s="7"/>
      <c r="BV495" s="7"/>
      <c r="BW495" s="2"/>
      <c r="BX495" s="8">
        <v>45959</v>
      </c>
      <c r="BY495" s="8"/>
      <c r="BZ495" s="2"/>
      <c r="CA495" s="14">
        <f t="shared" si="57"/>
        <v>18579762.368000001</v>
      </c>
      <c r="CB495" s="2" t="str">
        <f t="shared" si="58"/>
        <v>OK</v>
      </c>
      <c r="CC495" s="13">
        <f t="shared" si="59"/>
        <v>0</v>
      </c>
    </row>
    <row r="496" spans="1:81" s="9" customFormat="1" ht="93" hidden="1" customHeight="1" x14ac:dyDescent="0.25">
      <c r="A496" s="2" t="s">
        <v>1385</v>
      </c>
      <c r="B496" s="2" t="s">
        <v>1119</v>
      </c>
      <c r="C496" s="2" t="s">
        <v>681</v>
      </c>
      <c r="D496" s="12" t="s">
        <v>682</v>
      </c>
      <c r="E496" s="2" t="s">
        <v>1731</v>
      </c>
      <c r="F496" s="2" t="s">
        <v>65</v>
      </c>
      <c r="G496" s="2" t="s">
        <v>1788</v>
      </c>
      <c r="H496" s="2" t="s">
        <v>77</v>
      </c>
      <c r="I496" s="2" t="s">
        <v>1618</v>
      </c>
      <c r="J496" s="2" t="s">
        <v>1618</v>
      </c>
      <c r="K496" s="2" t="s">
        <v>67</v>
      </c>
      <c r="L496" s="7">
        <v>56591529.840000004</v>
      </c>
      <c r="M496" s="11">
        <v>3405408.02</v>
      </c>
      <c r="N496" s="2" t="s">
        <v>683</v>
      </c>
      <c r="O496" s="7"/>
      <c r="P496" s="7"/>
      <c r="Q496" s="7"/>
      <c r="R496" s="7"/>
      <c r="S496" s="7"/>
      <c r="T496" s="7"/>
      <c r="U496" s="7"/>
      <c r="V496" s="7"/>
      <c r="W496" s="7"/>
      <c r="X496" s="7"/>
      <c r="Y496" s="7"/>
      <c r="Z496" s="7"/>
      <c r="AA496" s="7">
        <v>1021622.4</v>
      </c>
      <c r="AB496" s="7"/>
      <c r="AC496" s="7"/>
      <c r="AD496" s="7"/>
      <c r="AE496" s="7"/>
      <c r="AF496" s="7"/>
      <c r="AG496" s="7">
        <v>1123784.6499999999</v>
      </c>
      <c r="AH496" s="7">
        <v>1260000.97</v>
      </c>
      <c r="AI496" s="7"/>
      <c r="AJ496" s="7"/>
      <c r="AK496" s="7"/>
      <c r="AL496" s="7"/>
      <c r="AM496" s="7"/>
      <c r="AN496" s="7"/>
      <c r="AO496" s="7"/>
      <c r="AP496" s="7"/>
      <c r="AQ496" s="7"/>
      <c r="AR496" s="7"/>
      <c r="AS496" s="7"/>
      <c r="AT496" s="7"/>
      <c r="AU496" s="7"/>
      <c r="AV496" s="7"/>
      <c r="AW496" s="7"/>
      <c r="AX496" s="7"/>
      <c r="AY496" s="7"/>
      <c r="AZ496" s="7"/>
      <c r="BA496" s="7"/>
      <c r="BB496" s="7"/>
      <c r="BC496" s="7"/>
      <c r="BD496" s="7"/>
      <c r="BE496" s="7"/>
      <c r="BF496" s="7"/>
      <c r="BG496" s="7"/>
      <c r="BH496" s="7"/>
      <c r="BI496" s="7"/>
      <c r="BJ496" s="7"/>
      <c r="BK496" s="7"/>
      <c r="BL496" s="7"/>
      <c r="BM496" s="7"/>
      <c r="BN496" s="7"/>
      <c r="BO496" s="7"/>
      <c r="BP496" s="7"/>
      <c r="BQ496" s="7"/>
      <c r="BR496" s="7"/>
      <c r="BS496" s="7"/>
      <c r="BT496" s="7"/>
      <c r="BU496" s="7"/>
      <c r="BV496" s="7"/>
      <c r="BW496" s="2"/>
      <c r="BX496" s="8">
        <v>46063</v>
      </c>
      <c r="BY496" s="8"/>
      <c r="BZ496" s="2"/>
      <c r="CA496" s="14">
        <f t="shared" si="57"/>
        <v>3405408.0199999996</v>
      </c>
      <c r="CB496" s="2" t="str">
        <f t="shared" si="58"/>
        <v>OK</v>
      </c>
      <c r="CC496" s="13">
        <f t="shared" si="59"/>
        <v>0</v>
      </c>
    </row>
    <row r="497" spans="1:81" s="9" customFormat="1" ht="114" hidden="1" customHeight="1" x14ac:dyDescent="0.25">
      <c r="A497" s="2" t="s">
        <v>1388</v>
      </c>
      <c r="B497" s="2" t="s">
        <v>930</v>
      </c>
      <c r="C497" s="2" t="s">
        <v>681</v>
      </c>
      <c r="D497" s="12" t="s">
        <v>931</v>
      </c>
      <c r="E497" s="2" t="s">
        <v>1768</v>
      </c>
      <c r="F497" s="2" t="s">
        <v>72</v>
      </c>
      <c r="G497" s="2" t="s">
        <v>1788</v>
      </c>
      <c r="H497" s="2" t="s">
        <v>77</v>
      </c>
      <c r="I497" s="2" t="s">
        <v>1618</v>
      </c>
      <c r="J497" s="2" t="s">
        <v>1618</v>
      </c>
      <c r="K497" s="2" t="s">
        <v>67</v>
      </c>
      <c r="L497" s="16">
        <v>69681260.799999997</v>
      </c>
      <c r="M497" s="11">
        <v>23277086.93</v>
      </c>
      <c r="N497" s="2" t="s">
        <v>14</v>
      </c>
      <c r="O497" s="7">
        <v>0</v>
      </c>
      <c r="P497" s="7"/>
      <c r="Q497" s="7"/>
      <c r="R497" s="7"/>
      <c r="S497" s="7"/>
      <c r="T497" s="7"/>
      <c r="U497" s="7"/>
      <c r="V497" s="7"/>
      <c r="W497" s="7"/>
      <c r="X497" s="7"/>
      <c r="Y497" s="7"/>
      <c r="Z497" s="7"/>
      <c r="AA497" s="7">
        <v>23277086.93</v>
      </c>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c r="AZ497" s="7"/>
      <c r="BA497" s="7"/>
      <c r="BB497" s="7"/>
      <c r="BC497" s="7"/>
      <c r="BD497" s="7"/>
      <c r="BE497" s="7"/>
      <c r="BF497" s="7"/>
      <c r="BG497" s="7"/>
      <c r="BH497" s="7"/>
      <c r="BI497" s="7"/>
      <c r="BJ497" s="7"/>
      <c r="BK497" s="7"/>
      <c r="BL497" s="7"/>
      <c r="BM497" s="7"/>
      <c r="BN497" s="7"/>
      <c r="BO497" s="7"/>
      <c r="BP497" s="7"/>
      <c r="BQ497" s="7"/>
      <c r="BR497" s="7"/>
      <c r="BS497" s="7"/>
      <c r="BT497" s="7"/>
      <c r="BU497" s="7"/>
      <c r="BV497" s="7"/>
      <c r="BW497" s="2"/>
      <c r="BX497" s="8">
        <v>46187</v>
      </c>
      <c r="BY497" s="8"/>
      <c r="BZ497" s="2"/>
      <c r="CA497" s="14"/>
      <c r="CB497" s="2"/>
      <c r="CC497" s="13"/>
    </row>
    <row r="498" spans="1:81" s="9" customFormat="1" ht="108" hidden="1" customHeight="1" x14ac:dyDescent="0.25">
      <c r="A498" s="2" t="s">
        <v>1348</v>
      </c>
      <c r="B498" s="2" t="s">
        <v>580</v>
      </c>
      <c r="C498" s="2" t="s">
        <v>552</v>
      </c>
      <c r="D498" s="12" t="s">
        <v>1797</v>
      </c>
      <c r="E498" s="2" t="s">
        <v>577</v>
      </c>
      <c r="F498" s="2" t="s">
        <v>72</v>
      </c>
      <c r="G498" s="2" t="s">
        <v>1788</v>
      </c>
      <c r="H498" s="2" t="s">
        <v>77</v>
      </c>
      <c r="I498" s="2" t="s">
        <v>1618</v>
      </c>
      <c r="J498" s="2" t="s">
        <v>1618</v>
      </c>
      <c r="K498" s="2" t="s">
        <v>67</v>
      </c>
      <c r="L498" s="16">
        <v>23563684.370000001</v>
      </c>
      <c r="M498" s="16">
        <v>10494433.289999999</v>
      </c>
      <c r="N498" s="2" t="s">
        <v>558</v>
      </c>
      <c r="O498" s="7"/>
      <c r="P498" s="7"/>
      <c r="Q498" s="7"/>
      <c r="R498" s="7"/>
      <c r="S498" s="7"/>
      <c r="T498" s="7"/>
      <c r="U498" s="7"/>
      <c r="V498" s="7"/>
      <c r="W498" s="7"/>
      <c r="X498" s="7"/>
      <c r="Y498" s="7"/>
      <c r="Z498" s="7"/>
      <c r="AA498" s="30">
        <v>314832.99869999994</v>
      </c>
      <c r="AB498" s="7"/>
      <c r="AC498" s="7"/>
      <c r="AD498" s="7"/>
      <c r="AE498" s="7"/>
      <c r="AF498" s="7"/>
      <c r="AG498" s="30">
        <v>4407661.9817999993</v>
      </c>
      <c r="AH498" s="30">
        <v>5771938.3095000004</v>
      </c>
      <c r="AI498" s="7"/>
      <c r="AJ498" s="7"/>
      <c r="AK498" s="7"/>
      <c r="AL498" s="7"/>
      <c r="AM498" s="7"/>
      <c r="AN498" s="7"/>
      <c r="AO498" s="7"/>
      <c r="AP498" s="7"/>
      <c r="AQ498" s="7"/>
      <c r="AR498" s="7"/>
      <c r="AS498" s="7"/>
      <c r="AT498" s="7"/>
      <c r="AU498" s="7"/>
      <c r="AV498" s="7"/>
      <c r="AW498" s="7"/>
      <c r="AX498" s="7"/>
      <c r="AY498" s="7"/>
      <c r="AZ498" s="7"/>
      <c r="BA498" s="7"/>
      <c r="BB498" s="7"/>
      <c r="BC498" s="7"/>
      <c r="BD498" s="7"/>
      <c r="BE498" s="7"/>
      <c r="BF498" s="7"/>
      <c r="BG498" s="7"/>
      <c r="BH498" s="7"/>
      <c r="BI498" s="7"/>
      <c r="BJ498" s="7"/>
      <c r="BK498" s="7"/>
      <c r="BL498" s="7"/>
      <c r="BM498" s="7"/>
      <c r="BN498" s="7"/>
      <c r="BO498" s="7"/>
      <c r="BP498" s="7"/>
      <c r="BQ498" s="7"/>
      <c r="BR498" s="7"/>
      <c r="BS498" s="7"/>
      <c r="BT498" s="7"/>
      <c r="BU498" s="7"/>
      <c r="BV498" s="7"/>
      <c r="BW498" s="2"/>
      <c r="BX498" s="8">
        <v>46258</v>
      </c>
      <c r="BY498" s="8"/>
      <c r="BZ498" s="2"/>
      <c r="CA498" s="14">
        <f t="shared" ref="CA498:CA516" si="60">SUM(O498:BV498)</f>
        <v>10494433.289999999</v>
      </c>
      <c r="CB498" s="2" t="str">
        <f t="shared" ref="CB498:CB516" si="61">IF(M498=CA498,"OK","CORRIGIR")</f>
        <v>OK</v>
      </c>
      <c r="CC498" s="13">
        <f t="shared" ref="CC498:CC516" si="62">M498-CA498</f>
        <v>0</v>
      </c>
    </row>
    <row r="499" spans="1:81" s="9" customFormat="1" ht="146.25" hidden="1" customHeight="1" x14ac:dyDescent="0.25">
      <c r="A499" s="2" t="s">
        <v>1345</v>
      </c>
      <c r="B499" s="2" t="s">
        <v>571</v>
      </c>
      <c r="C499" s="2" t="s">
        <v>552</v>
      </c>
      <c r="D499" s="12" t="s">
        <v>1795</v>
      </c>
      <c r="E499" s="2" t="s">
        <v>572</v>
      </c>
      <c r="F499" s="2" t="s">
        <v>72</v>
      </c>
      <c r="G499" s="2" t="s">
        <v>1788</v>
      </c>
      <c r="H499" s="2" t="s">
        <v>77</v>
      </c>
      <c r="I499" s="2" t="s">
        <v>1618</v>
      </c>
      <c r="J499" s="2" t="s">
        <v>1618</v>
      </c>
      <c r="K499" s="2" t="s">
        <v>67</v>
      </c>
      <c r="L499" s="16">
        <v>27766826.030000001</v>
      </c>
      <c r="M499" s="16">
        <v>12342399.630000001</v>
      </c>
      <c r="N499" s="2" t="s">
        <v>558</v>
      </c>
      <c r="O499" s="7"/>
      <c r="P499" s="7"/>
      <c r="Q499" s="7"/>
      <c r="R499" s="7"/>
      <c r="S499" s="7"/>
      <c r="T499" s="7"/>
      <c r="U499" s="7"/>
      <c r="V499" s="7"/>
      <c r="W499" s="7"/>
      <c r="X499" s="7"/>
      <c r="Y499" s="7"/>
      <c r="Z499" s="7"/>
      <c r="AA499" s="30">
        <v>370271.9889</v>
      </c>
      <c r="AB499" s="7"/>
      <c r="AC499" s="7"/>
      <c r="AD499" s="7"/>
      <c r="AE499" s="7"/>
      <c r="AF499" s="7"/>
      <c r="AG499" s="30">
        <v>5183807.8446000004</v>
      </c>
      <c r="AH499" s="30">
        <v>6788319.7965000011</v>
      </c>
      <c r="AI499" s="7"/>
      <c r="AJ499" s="7"/>
      <c r="AK499" s="7"/>
      <c r="AL499" s="7"/>
      <c r="AM499" s="7"/>
      <c r="AN499" s="7"/>
      <c r="AO499" s="7"/>
      <c r="AP499" s="7"/>
      <c r="AQ499" s="7"/>
      <c r="AR499" s="7"/>
      <c r="AS499" s="7"/>
      <c r="AT499" s="7"/>
      <c r="AU499" s="7"/>
      <c r="AV499" s="7"/>
      <c r="AW499" s="7"/>
      <c r="AX499" s="7"/>
      <c r="AY499" s="7"/>
      <c r="AZ499" s="7"/>
      <c r="BA499" s="7"/>
      <c r="BB499" s="7"/>
      <c r="BC499" s="7"/>
      <c r="BD499" s="7"/>
      <c r="BE499" s="7"/>
      <c r="BF499" s="7"/>
      <c r="BG499" s="7"/>
      <c r="BH499" s="7"/>
      <c r="BI499" s="7"/>
      <c r="BJ499" s="7"/>
      <c r="BK499" s="7"/>
      <c r="BL499" s="7"/>
      <c r="BM499" s="7"/>
      <c r="BN499" s="7"/>
      <c r="BO499" s="7"/>
      <c r="BP499" s="7"/>
      <c r="BQ499" s="7"/>
      <c r="BR499" s="7"/>
      <c r="BS499" s="7"/>
      <c r="BT499" s="7"/>
      <c r="BU499" s="7"/>
      <c r="BV499" s="7"/>
      <c r="BW499" s="2"/>
      <c r="BX499" s="8">
        <v>46264</v>
      </c>
      <c r="BY499" s="8"/>
      <c r="BZ499" s="2"/>
      <c r="CA499" s="14">
        <f t="shared" si="60"/>
        <v>12342399.630000003</v>
      </c>
      <c r="CB499" s="2" t="str">
        <f t="shared" si="61"/>
        <v>OK</v>
      </c>
      <c r="CC499" s="13">
        <f t="shared" si="62"/>
        <v>0</v>
      </c>
    </row>
    <row r="500" spans="1:81" s="9" customFormat="1" ht="74.25" hidden="1" customHeight="1" x14ac:dyDescent="0.25">
      <c r="A500" s="2" t="s">
        <v>1344</v>
      </c>
      <c r="B500" s="2" t="s">
        <v>573</v>
      </c>
      <c r="C500" s="2" t="s">
        <v>552</v>
      </c>
      <c r="D500" s="12" t="s">
        <v>1794</v>
      </c>
      <c r="E500" s="2" t="s">
        <v>574</v>
      </c>
      <c r="F500" s="2" t="s">
        <v>72</v>
      </c>
      <c r="G500" s="2" t="s">
        <v>1788</v>
      </c>
      <c r="H500" s="2" t="s">
        <v>77</v>
      </c>
      <c r="I500" s="2" t="s">
        <v>1618</v>
      </c>
      <c r="J500" s="2" t="s">
        <v>1618</v>
      </c>
      <c r="K500" s="2" t="s">
        <v>67</v>
      </c>
      <c r="L500" s="16">
        <v>29636033.800000001</v>
      </c>
      <c r="M500" s="16">
        <v>12024712.460000001</v>
      </c>
      <c r="N500" s="2" t="s">
        <v>558</v>
      </c>
      <c r="O500" s="7"/>
      <c r="P500" s="7"/>
      <c r="Q500" s="7"/>
      <c r="R500" s="7"/>
      <c r="S500" s="7"/>
      <c r="T500" s="7"/>
      <c r="U500" s="7"/>
      <c r="V500" s="7"/>
      <c r="W500" s="7"/>
      <c r="X500" s="7"/>
      <c r="Y500" s="7"/>
      <c r="Z500" s="7"/>
      <c r="AA500" s="30">
        <v>360741.3738</v>
      </c>
      <c r="AB500" s="7"/>
      <c r="AC500" s="7"/>
      <c r="AD500" s="7"/>
      <c r="AE500" s="7"/>
      <c r="AF500" s="7"/>
      <c r="AG500" s="30">
        <v>5050379.2332000006</v>
      </c>
      <c r="AH500" s="30">
        <v>6613591.8530000011</v>
      </c>
      <c r="AI500" s="7"/>
      <c r="AJ500" s="7"/>
      <c r="AK500" s="7"/>
      <c r="AL500" s="7"/>
      <c r="AM500" s="7"/>
      <c r="AN500" s="7"/>
      <c r="AO500" s="7"/>
      <c r="AP500" s="7"/>
      <c r="AQ500" s="7"/>
      <c r="AR500" s="7"/>
      <c r="AS500" s="7"/>
      <c r="AT500" s="7"/>
      <c r="AU500" s="7"/>
      <c r="AV500" s="7"/>
      <c r="AW500" s="7"/>
      <c r="AX500" s="7"/>
      <c r="AY500" s="7"/>
      <c r="AZ500" s="7"/>
      <c r="BA500" s="7"/>
      <c r="BB500" s="7"/>
      <c r="BC500" s="7"/>
      <c r="BD500" s="7"/>
      <c r="BE500" s="7"/>
      <c r="BF500" s="7"/>
      <c r="BG500" s="7"/>
      <c r="BH500" s="7"/>
      <c r="BI500" s="7"/>
      <c r="BJ500" s="7"/>
      <c r="BK500" s="7"/>
      <c r="BL500" s="7"/>
      <c r="BM500" s="7"/>
      <c r="BN500" s="7"/>
      <c r="BO500" s="7"/>
      <c r="BP500" s="7"/>
      <c r="BQ500" s="7"/>
      <c r="BR500" s="7"/>
      <c r="BS500" s="7"/>
      <c r="BT500" s="7"/>
      <c r="BU500" s="7"/>
      <c r="BV500" s="7"/>
      <c r="BW500" s="2"/>
      <c r="BX500" s="8">
        <v>46340</v>
      </c>
      <c r="BY500" s="8"/>
      <c r="BZ500" s="2"/>
      <c r="CA500" s="14">
        <f t="shared" si="60"/>
        <v>12024712.460000001</v>
      </c>
      <c r="CB500" s="2" t="str">
        <f t="shared" si="61"/>
        <v>OK</v>
      </c>
      <c r="CC500" s="13">
        <f t="shared" si="62"/>
        <v>0</v>
      </c>
    </row>
    <row r="501" spans="1:81" s="9" customFormat="1" ht="74.25" hidden="1" customHeight="1" x14ac:dyDescent="0.25">
      <c r="A501" s="2" t="s">
        <v>1346</v>
      </c>
      <c r="B501" s="2" t="s">
        <v>578</v>
      </c>
      <c r="C501" s="2" t="s">
        <v>552</v>
      </c>
      <c r="D501" s="12" t="s">
        <v>1796</v>
      </c>
      <c r="E501" s="2" t="s">
        <v>579</v>
      </c>
      <c r="F501" s="2" t="s">
        <v>72</v>
      </c>
      <c r="G501" s="2" t="s">
        <v>1788</v>
      </c>
      <c r="H501" s="2" t="s">
        <v>77</v>
      </c>
      <c r="I501" s="2" t="s">
        <v>1618</v>
      </c>
      <c r="J501" s="2" t="s">
        <v>1618</v>
      </c>
      <c r="K501" s="2" t="s">
        <v>67</v>
      </c>
      <c r="L501" s="16">
        <v>26702177.879999999</v>
      </c>
      <c r="M501" s="16">
        <v>10195690.23</v>
      </c>
      <c r="N501" s="2" t="s">
        <v>558</v>
      </c>
      <c r="O501" s="7"/>
      <c r="P501" s="7"/>
      <c r="Q501" s="7"/>
      <c r="R501" s="7"/>
      <c r="S501" s="7"/>
      <c r="T501" s="7"/>
      <c r="U501" s="7"/>
      <c r="V501" s="7"/>
      <c r="W501" s="7"/>
      <c r="X501" s="7"/>
      <c r="Y501" s="7"/>
      <c r="Z501" s="7"/>
      <c r="AA501" s="30">
        <v>305870.70689999999</v>
      </c>
      <c r="AB501" s="7"/>
      <c r="AC501" s="7"/>
      <c r="AD501" s="7"/>
      <c r="AE501" s="7"/>
      <c r="AF501" s="7"/>
      <c r="AG501" s="30">
        <v>4282189.8965999996</v>
      </c>
      <c r="AH501" s="30">
        <v>5607629.6265000002</v>
      </c>
      <c r="AI501" s="7"/>
      <c r="AJ501" s="7"/>
      <c r="AK501" s="7"/>
      <c r="AL501" s="7"/>
      <c r="AM501" s="7"/>
      <c r="AN501" s="7"/>
      <c r="AO501" s="7"/>
      <c r="AP501" s="7"/>
      <c r="AQ501" s="7"/>
      <c r="AR501" s="7"/>
      <c r="AS501" s="7"/>
      <c r="AT501" s="7"/>
      <c r="AU501" s="7"/>
      <c r="AV501" s="7"/>
      <c r="AW501" s="7"/>
      <c r="AX501" s="7"/>
      <c r="AY501" s="7"/>
      <c r="AZ501" s="7"/>
      <c r="BA501" s="7"/>
      <c r="BB501" s="7"/>
      <c r="BC501" s="7"/>
      <c r="BD501" s="7"/>
      <c r="BE501" s="7"/>
      <c r="BF501" s="7"/>
      <c r="BG501" s="7"/>
      <c r="BH501" s="7"/>
      <c r="BI501" s="7"/>
      <c r="BJ501" s="7"/>
      <c r="BK501" s="7"/>
      <c r="BL501" s="7"/>
      <c r="BM501" s="7"/>
      <c r="BN501" s="7"/>
      <c r="BO501" s="7"/>
      <c r="BP501" s="7"/>
      <c r="BQ501" s="7"/>
      <c r="BR501" s="7"/>
      <c r="BS501" s="7"/>
      <c r="BT501" s="7"/>
      <c r="BU501" s="7"/>
      <c r="BV501" s="7"/>
      <c r="BW501" s="2"/>
      <c r="BX501" s="8">
        <v>46352</v>
      </c>
      <c r="BY501" s="8"/>
      <c r="BZ501" s="2"/>
      <c r="CA501" s="14">
        <f t="shared" si="60"/>
        <v>10195690.23</v>
      </c>
      <c r="CB501" s="2" t="str">
        <f t="shared" si="61"/>
        <v>OK</v>
      </c>
      <c r="CC501" s="13">
        <f t="shared" si="62"/>
        <v>0</v>
      </c>
    </row>
    <row r="502" spans="1:81" s="9" customFormat="1" ht="74.25" hidden="1" customHeight="1" x14ac:dyDescent="0.25">
      <c r="A502" s="2" t="s">
        <v>1416</v>
      </c>
      <c r="B502" s="2" t="s">
        <v>1005</v>
      </c>
      <c r="C502" s="2" t="s">
        <v>681</v>
      </c>
      <c r="D502" s="12" t="s">
        <v>1006</v>
      </c>
      <c r="E502" s="2" t="s">
        <v>1773</v>
      </c>
      <c r="F502" s="2" t="s">
        <v>334</v>
      </c>
      <c r="G502" s="2" t="s">
        <v>2029</v>
      </c>
      <c r="H502" s="2" t="s">
        <v>77</v>
      </c>
      <c r="I502" s="2" t="s">
        <v>1618</v>
      </c>
      <c r="J502" s="2" t="s">
        <v>1618</v>
      </c>
      <c r="K502" s="2" t="s">
        <v>67</v>
      </c>
      <c r="L502" s="16">
        <v>1000000</v>
      </c>
      <c r="M502" s="11">
        <v>1000000</v>
      </c>
      <c r="N502" s="2" t="s">
        <v>14</v>
      </c>
      <c r="O502" s="7">
        <v>0</v>
      </c>
      <c r="P502" s="7"/>
      <c r="Q502" s="7"/>
      <c r="R502" s="7"/>
      <c r="S502" s="7"/>
      <c r="T502" s="7"/>
      <c r="U502" s="7"/>
      <c r="V502" s="7"/>
      <c r="W502" s="7"/>
      <c r="X502" s="7"/>
      <c r="Y502" s="7"/>
      <c r="Z502" s="7"/>
      <c r="AA502" s="7">
        <v>1000000</v>
      </c>
      <c r="AB502" s="7"/>
      <c r="AC502" s="7"/>
      <c r="AD502" s="7"/>
      <c r="AE502" s="7"/>
      <c r="AF502" s="7"/>
      <c r="AG502" s="7"/>
      <c r="AH502" s="7"/>
      <c r="AI502" s="7"/>
      <c r="AJ502" s="7"/>
      <c r="AK502" s="7"/>
      <c r="AL502" s="7"/>
      <c r="AM502" s="7"/>
      <c r="AN502" s="7"/>
      <c r="AO502" s="7"/>
      <c r="AP502" s="7"/>
      <c r="AQ502" s="7"/>
      <c r="AR502" s="7"/>
      <c r="AS502" s="7"/>
      <c r="AT502" s="7"/>
      <c r="AU502" s="7"/>
      <c r="AV502" s="7"/>
      <c r="AW502" s="7"/>
      <c r="AX502" s="7"/>
      <c r="AY502" s="7"/>
      <c r="AZ502" s="7"/>
      <c r="BA502" s="7"/>
      <c r="BB502" s="7"/>
      <c r="BC502" s="7"/>
      <c r="BD502" s="7"/>
      <c r="BE502" s="7"/>
      <c r="BF502" s="7"/>
      <c r="BG502" s="7"/>
      <c r="BH502" s="7"/>
      <c r="BI502" s="7"/>
      <c r="BJ502" s="7"/>
      <c r="BK502" s="7"/>
      <c r="BL502" s="7"/>
      <c r="BM502" s="7"/>
      <c r="BN502" s="7"/>
      <c r="BO502" s="7"/>
      <c r="BP502" s="7"/>
      <c r="BQ502" s="7"/>
      <c r="BR502" s="7"/>
      <c r="BS502" s="7"/>
      <c r="BT502" s="7"/>
      <c r="BU502" s="7"/>
      <c r="BV502" s="7"/>
      <c r="BW502" s="2"/>
      <c r="BX502" s="8">
        <v>46011</v>
      </c>
      <c r="BY502" s="8"/>
      <c r="BZ502" s="8"/>
      <c r="CA502" s="14">
        <f t="shared" si="60"/>
        <v>1000000</v>
      </c>
      <c r="CB502" s="2" t="str">
        <f t="shared" si="61"/>
        <v>OK</v>
      </c>
      <c r="CC502" s="13">
        <f t="shared" si="62"/>
        <v>0</v>
      </c>
    </row>
    <row r="503" spans="1:81" s="9" customFormat="1" ht="114" hidden="1" customHeight="1" x14ac:dyDescent="0.25">
      <c r="A503" s="2" t="s">
        <v>1401</v>
      </c>
      <c r="B503" s="2" t="s">
        <v>1119</v>
      </c>
      <c r="C503" s="2" t="s">
        <v>715</v>
      </c>
      <c r="D503" s="12" t="s">
        <v>753</v>
      </c>
      <c r="E503" s="2"/>
      <c r="F503" s="2" t="s">
        <v>65</v>
      </c>
      <c r="G503" s="2" t="s">
        <v>2029</v>
      </c>
      <c r="H503" s="2" t="s">
        <v>77</v>
      </c>
      <c r="I503" s="2" t="s">
        <v>754</v>
      </c>
      <c r="J503" s="2" t="s">
        <v>755</v>
      </c>
      <c r="K503" s="2" t="s">
        <v>67</v>
      </c>
      <c r="L503" s="16">
        <v>5485000</v>
      </c>
      <c r="M503" s="11">
        <v>1700000</v>
      </c>
      <c r="N503" s="2" t="s">
        <v>10</v>
      </c>
      <c r="O503" s="7">
        <v>1700000</v>
      </c>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c r="AR503" s="7"/>
      <c r="AS503" s="7"/>
      <c r="AT503" s="7"/>
      <c r="AU503" s="7"/>
      <c r="AV503" s="7"/>
      <c r="AW503" s="7"/>
      <c r="AX503" s="7"/>
      <c r="AY503" s="7"/>
      <c r="AZ503" s="7"/>
      <c r="BA503" s="7"/>
      <c r="BB503" s="7"/>
      <c r="BC503" s="7"/>
      <c r="BD503" s="7"/>
      <c r="BE503" s="7"/>
      <c r="BF503" s="7"/>
      <c r="BG503" s="7"/>
      <c r="BH503" s="7"/>
      <c r="BI503" s="7"/>
      <c r="BJ503" s="7"/>
      <c r="BK503" s="7"/>
      <c r="BL503" s="7"/>
      <c r="BM503" s="7"/>
      <c r="BN503" s="7"/>
      <c r="BO503" s="7"/>
      <c r="BP503" s="7"/>
      <c r="BQ503" s="7"/>
      <c r="BR503" s="7"/>
      <c r="BS503" s="7"/>
      <c r="BT503" s="7"/>
      <c r="BU503" s="7"/>
      <c r="BV503" s="7"/>
      <c r="BW503" s="8"/>
      <c r="BX503" s="2"/>
      <c r="BY503" s="2"/>
      <c r="BZ503" s="8"/>
      <c r="CA503" s="14">
        <f t="shared" si="60"/>
        <v>1700000</v>
      </c>
      <c r="CB503" s="2" t="str">
        <f t="shared" si="61"/>
        <v>OK</v>
      </c>
      <c r="CC503" s="13">
        <f t="shared" si="62"/>
        <v>0</v>
      </c>
    </row>
    <row r="504" spans="1:81" s="9" customFormat="1" ht="114" hidden="1" customHeight="1" x14ac:dyDescent="0.25">
      <c r="A504" s="38" t="s">
        <v>1294</v>
      </c>
      <c r="B504" s="38" t="s">
        <v>2105</v>
      </c>
      <c r="C504" s="38" t="s">
        <v>552</v>
      </c>
      <c r="D504" s="47" t="s">
        <v>1819</v>
      </c>
      <c r="E504" s="2"/>
      <c r="F504" s="38" t="s">
        <v>72</v>
      </c>
      <c r="G504" s="38" t="s">
        <v>2029</v>
      </c>
      <c r="H504" s="38" t="s">
        <v>77</v>
      </c>
      <c r="I504" s="38" t="s">
        <v>1618</v>
      </c>
      <c r="J504" s="38" t="s">
        <v>1618</v>
      </c>
      <c r="K504" s="38" t="s">
        <v>67</v>
      </c>
      <c r="L504" s="48">
        <f>73000-73000</f>
        <v>0</v>
      </c>
      <c r="M504" s="48">
        <f>53000-53000</f>
        <v>0</v>
      </c>
      <c r="N504" s="38" t="s">
        <v>1820</v>
      </c>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7"/>
      <c r="AO504" s="7"/>
      <c r="AP504" s="7"/>
      <c r="AQ504" s="7"/>
      <c r="AR504" s="7"/>
      <c r="AS504" s="7"/>
      <c r="AT504" s="7"/>
      <c r="AU504" s="7"/>
      <c r="AV504" s="7"/>
      <c r="AW504" s="7"/>
      <c r="AX504" s="7"/>
      <c r="AY504" s="7"/>
      <c r="AZ504" s="7"/>
      <c r="BA504" s="7"/>
      <c r="BB504" s="7"/>
      <c r="BC504" s="7"/>
      <c r="BD504" s="7"/>
      <c r="BE504" s="7"/>
      <c r="BF504" s="7"/>
      <c r="BG504" s="7"/>
      <c r="BH504" s="7"/>
      <c r="BI504" s="7"/>
      <c r="BJ504" s="7"/>
      <c r="BK504" s="7"/>
      <c r="BL504" s="7"/>
      <c r="BM504" s="7"/>
      <c r="BN504" s="7"/>
      <c r="BO504" s="7"/>
      <c r="BP504" s="7"/>
      <c r="BQ504" s="7"/>
      <c r="BR504" s="7"/>
      <c r="BS504" s="7"/>
      <c r="BT504" s="7"/>
      <c r="BU504" s="7"/>
      <c r="BV504" s="7"/>
      <c r="BW504" s="46"/>
      <c r="BX504" s="2"/>
      <c r="BY504" s="38"/>
      <c r="BZ504" s="2"/>
      <c r="CA504" s="14">
        <f t="shared" si="60"/>
        <v>0</v>
      </c>
      <c r="CB504" s="2" t="str">
        <f t="shared" si="61"/>
        <v>OK</v>
      </c>
      <c r="CC504" s="13">
        <f t="shared" si="62"/>
        <v>0</v>
      </c>
    </row>
    <row r="505" spans="1:81" s="9" customFormat="1" ht="114" hidden="1" customHeight="1" x14ac:dyDescent="0.25">
      <c r="A505" s="2" t="s">
        <v>1604</v>
      </c>
      <c r="B505" s="2" t="s">
        <v>302</v>
      </c>
      <c r="C505" s="2" t="s">
        <v>274</v>
      </c>
      <c r="D505" s="12" t="s">
        <v>303</v>
      </c>
      <c r="E505" s="2" t="s">
        <v>304</v>
      </c>
      <c r="F505" s="2" t="s">
        <v>65</v>
      </c>
      <c r="G505" s="2" t="s">
        <v>2030</v>
      </c>
      <c r="H505" s="2" t="s">
        <v>77</v>
      </c>
      <c r="I505" s="2" t="s">
        <v>305</v>
      </c>
      <c r="J505" s="2">
        <v>4000</v>
      </c>
      <c r="K505" s="2" t="s">
        <v>67</v>
      </c>
      <c r="L505" s="16">
        <v>32720</v>
      </c>
      <c r="M505" s="22">
        <v>7640.6</v>
      </c>
      <c r="N505" s="2" t="s">
        <v>282</v>
      </c>
      <c r="O505" s="7">
        <v>0</v>
      </c>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7"/>
      <c r="AO505" s="7"/>
      <c r="AP505" s="7"/>
      <c r="AQ505" s="7"/>
      <c r="AR505" s="7"/>
      <c r="AS505" s="7"/>
      <c r="AT505" s="7"/>
      <c r="AU505" s="7"/>
      <c r="AV505" s="7"/>
      <c r="AW505" s="7"/>
      <c r="AX505" s="7"/>
      <c r="AY505" s="7"/>
      <c r="AZ505" s="7"/>
      <c r="BA505" s="7"/>
      <c r="BB505" s="7"/>
      <c r="BC505" s="7"/>
      <c r="BD505" s="7"/>
      <c r="BE505" s="7"/>
      <c r="BF505" s="7"/>
      <c r="BG505" s="7"/>
      <c r="BH505" s="7"/>
      <c r="BI505" s="7"/>
      <c r="BJ505" s="7"/>
      <c r="BK505" s="7"/>
      <c r="BL505" s="7"/>
      <c r="BM505" s="7"/>
      <c r="BN505" s="7">
        <v>7640.6</v>
      </c>
      <c r="BO505" s="7"/>
      <c r="BP505" s="7"/>
      <c r="BQ505" s="7"/>
      <c r="BR505" s="7"/>
      <c r="BS505" s="7"/>
      <c r="BT505" s="7"/>
      <c r="BU505" s="7"/>
      <c r="BV505" s="7"/>
      <c r="BW505" s="2"/>
      <c r="BX505" s="8">
        <v>45565</v>
      </c>
      <c r="BY505" s="8"/>
      <c r="BZ505" s="8"/>
      <c r="CA505" s="14">
        <f t="shared" si="60"/>
        <v>7640.6</v>
      </c>
      <c r="CB505" s="2" t="str">
        <f t="shared" si="61"/>
        <v>OK</v>
      </c>
      <c r="CC505" s="13">
        <f t="shared" si="62"/>
        <v>0</v>
      </c>
    </row>
    <row r="506" spans="1:81" s="9" customFormat="1" ht="110.25" hidden="1" customHeight="1" x14ac:dyDescent="0.25">
      <c r="A506" s="2" t="s">
        <v>1581</v>
      </c>
      <c r="B506" s="2" t="s">
        <v>1090</v>
      </c>
      <c r="C506" s="2" t="s">
        <v>1051</v>
      </c>
      <c r="D506" s="12" t="s">
        <v>1091</v>
      </c>
      <c r="E506" s="2" t="s">
        <v>1092</v>
      </c>
      <c r="F506" s="2" t="s">
        <v>334</v>
      </c>
      <c r="G506" s="2" t="s">
        <v>2031</v>
      </c>
      <c r="H506" s="2" t="s">
        <v>77</v>
      </c>
      <c r="I506" s="2" t="s">
        <v>1618</v>
      </c>
      <c r="J506" s="2" t="s">
        <v>1618</v>
      </c>
      <c r="K506" s="2" t="s">
        <v>67</v>
      </c>
      <c r="L506" s="16">
        <v>153000</v>
      </c>
      <c r="M506" s="22">
        <v>153000</v>
      </c>
      <c r="N506" s="2" t="s">
        <v>33</v>
      </c>
      <c r="O506" s="7">
        <v>0</v>
      </c>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7"/>
      <c r="AQ506" s="7"/>
      <c r="AR506" s="7"/>
      <c r="AS506" s="7"/>
      <c r="AT506" s="7"/>
      <c r="AU506" s="7"/>
      <c r="AV506" s="7"/>
      <c r="AW506" s="7"/>
      <c r="AX506" s="7"/>
      <c r="AY506" s="7"/>
      <c r="AZ506" s="7"/>
      <c r="BA506" s="7"/>
      <c r="BB506" s="7"/>
      <c r="BC506" s="7"/>
      <c r="BD506" s="7"/>
      <c r="BE506" s="7"/>
      <c r="BF506" s="7"/>
      <c r="BG506" s="7"/>
      <c r="BH506" s="7"/>
      <c r="BI506" s="7"/>
      <c r="BJ506" s="7"/>
      <c r="BK506" s="7"/>
      <c r="BL506" s="7"/>
      <c r="BM506" s="7">
        <v>153000</v>
      </c>
      <c r="BN506" s="7"/>
      <c r="BO506" s="7"/>
      <c r="BP506" s="7"/>
      <c r="BQ506" s="7"/>
      <c r="BR506" s="7"/>
      <c r="BS506" s="7"/>
      <c r="BT506" s="7"/>
      <c r="BU506" s="7"/>
      <c r="BV506" s="7"/>
      <c r="BW506" s="2"/>
      <c r="BX506" s="8">
        <v>45764</v>
      </c>
      <c r="BY506" s="8"/>
      <c r="BZ506" s="2"/>
      <c r="CA506" s="14">
        <f t="shared" si="60"/>
        <v>153000</v>
      </c>
      <c r="CB506" s="2" t="str">
        <f t="shared" si="61"/>
        <v>OK</v>
      </c>
      <c r="CC506" s="13">
        <f t="shared" si="62"/>
        <v>0</v>
      </c>
    </row>
    <row r="507" spans="1:81" s="9" customFormat="1" ht="104.25" hidden="1" customHeight="1" x14ac:dyDescent="0.25">
      <c r="A507" s="2" t="s">
        <v>1448</v>
      </c>
      <c r="B507" s="2" t="s">
        <v>1003</v>
      </c>
      <c r="C507" s="2" t="s">
        <v>681</v>
      </c>
      <c r="D507" s="12" t="s">
        <v>1004</v>
      </c>
      <c r="E507" s="2" t="s">
        <v>1775</v>
      </c>
      <c r="F507" s="2" t="s">
        <v>334</v>
      </c>
      <c r="G507" s="2" t="s">
        <v>2031</v>
      </c>
      <c r="H507" s="2" t="s">
        <v>77</v>
      </c>
      <c r="I507" s="2" t="s">
        <v>1618</v>
      </c>
      <c r="J507" s="2" t="s">
        <v>1618</v>
      </c>
      <c r="K507" s="2" t="s">
        <v>67</v>
      </c>
      <c r="L507" s="16">
        <v>158024.29</v>
      </c>
      <c r="M507" s="11">
        <v>158024.29</v>
      </c>
      <c r="N507" s="2" t="s">
        <v>14</v>
      </c>
      <c r="O507" s="7">
        <v>0</v>
      </c>
      <c r="P507" s="7"/>
      <c r="Q507" s="7"/>
      <c r="R507" s="7"/>
      <c r="S507" s="7"/>
      <c r="T507" s="7"/>
      <c r="U507" s="7"/>
      <c r="V507" s="7"/>
      <c r="W507" s="7"/>
      <c r="X507" s="7"/>
      <c r="Y507" s="7"/>
      <c r="Z507" s="7"/>
      <c r="AA507" s="7">
        <v>158024.29</v>
      </c>
      <c r="AB507" s="7"/>
      <c r="AC507" s="7"/>
      <c r="AD507" s="7"/>
      <c r="AE507" s="7"/>
      <c r="AF507" s="7"/>
      <c r="AG507" s="7"/>
      <c r="AH507" s="7"/>
      <c r="AI507" s="7"/>
      <c r="AJ507" s="7"/>
      <c r="AK507" s="7"/>
      <c r="AL507" s="7"/>
      <c r="AM507" s="7"/>
      <c r="AN507" s="7"/>
      <c r="AO507" s="7"/>
      <c r="AP507" s="7"/>
      <c r="AQ507" s="7"/>
      <c r="AR507" s="7"/>
      <c r="AS507" s="7"/>
      <c r="AT507" s="7"/>
      <c r="AU507" s="7"/>
      <c r="AV507" s="7"/>
      <c r="AW507" s="7"/>
      <c r="AX507" s="7"/>
      <c r="AY507" s="7"/>
      <c r="AZ507" s="7"/>
      <c r="BA507" s="7"/>
      <c r="BB507" s="7"/>
      <c r="BC507" s="7"/>
      <c r="BD507" s="7"/>
      <c r="BE507" s="7"/>
      <c r="BF507" s="7"/>
      <c r="BG507" s="7"/>
      <c r="BH507" s="7"/>
      <c r="BI507" s="7"/>
      <c r="BJ507" s="7"/>
      <c r="BK507" s="7"/>
      <c r="BL507" s="7"/>
      <c r="BM507" s="7"/>
      <c r="BN507" s="7"/>
      <c r="BO507" s="7"/>
      <c r="BP507" s="7"/>
      <c r="BQ507" s="7"/>
      <c r="BR507" s="7"/>
      <c r="BS507" s="7"/>
      <c r="BT507" s="7"/>
      <c r="BU507" s="7"/>
      <c r="BV507" s="7"/>
      <c r="BW507" s="2"/>
      <c r="BX507" s="8">
        <v>45773</v>
      </c>
      <c r="BY507" s="8"/>
      <c r="BZ507" s="2" t="s">
        <v>1700</v>
      </c>
      <c r="CA507" s="14">
        <f t="shared" si="60"/>
        <v>158024.29</v>
      </c>
      <c r="CB507" s="2" t="str">
        <f t="shared" si="61"/>
        <v>OK</v>
      </c>
      <c r="CC507" s="13">
        <f t="shared" si="62"/>
        <v>0</v>
      </c>
    </row>
    <row r="508" spans="1:81" s="9" customFormat="1" ht="103.5" hidden="1" customHeight="1" x14ac:dyDescent="0.25">
      <c r="A508" s="2" t="s">
        <v>1443</v>
      </c>
      <c r="B508" s="2" t="s">
        <v>995</v>
      </c>
      <c r="C508" s="2" t="s">
        <v>681</v>
      </c>
      <c r="D508" s="12" t="s">
        <v>996</v>
      </c>
      <c r="E508" s="2" t="s">
        <v>1769</v>
      </c>
      <c r="F508" s="2" t="s">
        <v>334</v>
      </c>
      <c r="G508" s="2" t="s">
        <v>2031</v>
      </c>
      <c r="H508" s="2" t="s">
        <v>77</v>
      </c>
      <c r="I508" s="2" t="s">
        <v>1618</v>
      </c>
      <c r="J508" s="2" t="s">
        <v>1618</v>
      </c>
      <c r="K508" s="2" t="s">
        <v>67</v>
      </c>
      <c r="L508" s="16">
        <v>205979.1</v>
      </c>
      <c r="M508" s="11">
        <v>205979.1</v>
      </c>
      <c r="N508" s="2" t="s">
        <v>14</v>
      </c>
      <c r="O508" s="7"/>
      <c r="P508" s="7"/>
      <c r="Q508" s="7"/>
      <c r="R508" s="7"/>
      <c r="S508" s="7"/>
      <c r="T508" s="7"/>
      <c r="U508" s="7"/>
      <c r="V508" s="7"/>
      <c r="W508" s="7"/>
      <c r="X508" s="7">
        <v>0</v>
      </c>
      <c r="Y508" s="7"/>
      <c r="Z508" s="7"/>
      <c r="AA508" s="7">
        <v>205979.1</v>
      </c>
      <c r="AB508" s="7"/>
      <c r="AC508" s="7"/>
      <c r="AD508" s="7"/>
      <c r="AE508" s="7"/>
      <c r="AF508" s="7"/>
      <c r="AG508" s="7"/>
      <c r="AH508" s="7"/>
      <c r="AI508" s="7"/>
      <c r="AJ508" s="7"/>
      <c r="AK508" s="7"/>
      <c r="AL508" s="7"/>
      <c r="AM508" s="7"/>
      <c r="AN508" s="7"/>
      <c r="AO508" s="7"/>
      <c r="AP508" s="7"/>
      <c r="AQ508" s="7"/>
      <c r="AR508" s="7"/>
      <c r="AS508" s="7"/>
      <c r="AT508" s="7"/>
      <c r="AU508" s="7"/>
      <c r="AV508" s="7"/>
      <c r="AW508" s="7"/>
      <c r="AX508" s="7"/>
      <c r="AY508" s="7"/>
      <c r="AZ508" s="7"/>
      <c r="BA508" s="7"/>
      <c r="BB508" s="7"/>
      <c r="BC508" s="7"/>
      <c r="BD508" s="7"/>
      <c r="BE508" s="7"/>
      <c r="BF508" s="7"/>
      <c r="BG508" s="7"/>
      <c r="BH508" s="7"/>
      <c r="BI508" s="7"/>
      <c r="BJ508" s="7"/>
      <c r="BK508" s="7"/>
      <c r="BL508" s="7"/>
      <c r="BM508" s="7"/>
      <c r="BN508" s="7"/>
      <c r="BO508" s="7"/>
      <c r="BP508" s="7"/>
      <c r="BQ508" s="7"/>
      <c r="BR508" s="7"/>
      <c r="BS508" s="7"/>
      <c r="BT508" s="7"/>
      <c r="BU508" s="7"/>
      <c r="BV508" s="7"/>
      <c r="BW508" s="2"/>
      <c r="BX508" s="8">
        <v>46040</v>
      </c>
      <c r="BY508" s="8"/>
      <c r="BZ508" s="8"/>
      <c r="CA508" s="14">
        <f t="shared" si="60"/>
        <v>205979.1</v>
      </c>
      <c r="CB508" s="2" t="str">
        <f t="shared" si="61"/>
        <v>OK</v>
      </c>
      <c r="CC508" s="13">
        <f t="shared" si="62"/>
        <v>0</v>
      </c>
    </row>
    <row r="509" spans="1:81" s="9" customFormat="1" ht="114" hidden="1" customHeight="1" x14ac:dyDescent="0.25">
      <c r="A509" s="2" t="s">
        <v>1583</v>
      </c>
      <c r="B509" s="2" t="s">
        <v>1093</v>
      </c>
      <c r="C509" s="2" t="s">
        <v>1051</v>
      </c>
      <c r="D509" s="12" t="s">
        <v>1094</v>
      </c>
      <c r="E509" s="2" t="s">
        <v>1095</v>
      </c>
      <c r="F509" s="2" t="s">
        <v>334</v>
      </c>
      <c r="G509" s="2" t="s">
        <v>2031</v>
      </c>
      <c r="H509" s="2" t="s">
        <v>77</v>
      </c>
      <c r="I509" s="2" t="s">
        <v>1618</v>
      </c>
      <c r="J509" s="2" t="s">
        <v>1618</v>
      </c>
      <c r="K509" s="2" t="s">
        <v>67</v>
      </c>
      <c r="L509" s="16">
        <v>4185624</v>
      </c>
      <c r="M509" s="22">
        <v>4185624</v>
      </c>
      <c r="N509" s="2" t="s">
        <v>33</v>
      </c>
      <c r="O509" s="7">
        <v>0</v>
      </c>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7"/>
      <c r="AQ509" s="7"/>
      <c r="AR509" s="7"/>
      <c r="AS509" s="7"/>
      <c r="AT509" s="7"/>
      <c r="AU509" s="7"/>
      <c r="AV509" s="7"/>
      <c r="AW509" s="7"/>
      <c r="AX509" s="7"/>
      <c r="AY509" s="7"/>
      <c r="AZ509" s="7"/>
      <c r="BA509" s="7"/>
      <c r="BB509" s="7"/>
      <c r="BC509" s="7"/>
      <c r="BD509" s="7"/>
      <c r="BE509" s="7"/>
      <c r="BF509" s="7"/>
      <c r="BG509" s="7"/>
      <c r="BH509" s="7"/>
      <c r="BI509" s="7"/>
      <c r="BJ509" s="7"/>
      <c r="BK509" s="7"/>
      <c r="BL509" s="7"/>
      <c r="BM509" s="7">
        <v>4185624</v>
      </c>
      <c r="BN509" s="7"/>
      <c r="BO509" s="7"/>
      <c r="BP509" s="7"/>
      <c r="BQ509" s="7"/>
      <c r="BR509" s="7"/>
      <c r="BS509" s="7"/>
      <c r="BT509" s="7"/>
      <c r="BU509" s="7"/>
      <c r="BV509" s="7"/>
      <c r="BW509" s="2"/>
      <c r="BX509" s="8">
        <v>46089</v>
      </c>
      <c r="BY509" s="8"/>
      <c r="BZ509" s="2" t="s">
        <v>1710</v>
      </c>
      <c r="CA509" s="14">
        <f t="shared" si="60"/>
        <v>4185624</v>
      </c>
      <c r="CB509" s="2" t="str">
        <f t="shared" si="61"/>
        <v>OK</v>
      </c>
      <c r="CC509" s="13">
        <f t="shared" si="62"/>
        <v>0</v>
      </c>
    </row>
    <row r="510" spans="1:81" s="9" customFormat="1" ht="114" hidden="1" customHeight="1" x14ac:dyDescent="0.25">
      <c r="A510" s="2" t="s">
        <v>1214</v>
      </c>
      <c r="B510" s="2" t="s">
        <v>306</v>
      </c>
      <c r="C510" s="2" t="s">
        <v>274</v>
      </c>
      <c r="D510" s="12" t="s">
        <v>2043</v>
      </c>
      <c r="E510" s="2" t="s">
        <v>308</v>
      </c>
      <c r="F510" s="2" t="s">
        <v>72</v>
      </c>
      <c r="G510" s="2" t="s">
        <v>1693</v>
      </c>
      <c r="H510" s="2" t="s">
        <v>77</v>
      </c>
      <c r="I510" s="2" t="s">
        <v>1618</v>
      </c>
      <c r="J510" s="2" t="s">
        <v>1618</v>
      </c>
      <c r="K510" s="2" t="s">
        <v>67</v>
      </c>
      <c r="L510" s="16">
        <v>4092235</v>
      </c>
      <c r="M510" s="22">
        <v>4092235</v>
      </c>
      <c r="N510" s="2" t="s">
        <v>40</v>
      </c>
      <c r="O510" s="7">
        <v>0</v>
      </c>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c r="AO510" s="7"/>
      <c r="AP510" s="7"/>
      <c r="AQ510" s="7"/>
      <c r="AR510" s="7"/>
      <c r="AS510" s="7"/>
      <c r="AT510" s="7"/>
      <c r="AU510" s="7"/>
      <c r="AV510" s="7"/>
      <c r="AW510" s="7"/>
      <c r="AX510" s="7"/>
      <c r="AY510" s="7"/>
      <c r="AZ510" s="7"/>
      <c r="BA510" s="7"/>
      <c r="BB510" s="7"/>
      <c r="BC510" s="7"/>
      <c r="BD510" s="7"/>
      <c r="BE510" s="7"/>
      <c r="BF510" s="7"/>
      <c r="BG510" s="7"/>
      <c r="BH510" s="7"/>
      <c r="BI510" s="7"/>
      <c r="BJ510" s="7"/>
      <c r="BK510" s="7"/>
      <c r="BL510" s="7"/>
      <c r="BM510" s="7"/>
      <c r="BN510" s="7"/>
      <c r="BO510" s="7"/>
      <c r="BP510" s="7"/>
      <c r="BQ510" s="7"/>
      <c r="BR510" s="7"/>
      <c r="BS510" s="7"/>
      <c r="BT510" s="7">
        <v>4092235</v>
      </c>
      <c r="BU510" s="7"/>
      <c r="BV510" s="7"/>
      <c r="BW510" s="2"/>
      <c r="BX510" s="8">
        <v>45748</v>
      </c>
      <c r="BY510" s="8"/>
      <c r="BZ510" s="2"/>
      <c r="CA510" s="14">
        <f t="shared" si="60"/>
        <v>4092235</v>
      </c>
      <c r="CB510" s="2" t="str">
        <f t="shared" si="61"/>
        <v>OK</v>
      </c>
      <c r="CC510" s="13">
        <f t="shared" si="62"/>
        <v>0</v>
      </c>
    </row>
    <row r="511" spans="1:81" s="9" customFormat="1" ht="114" hidden="1" customHeight="1" x14ac:dyDescent="0.25">
      <c r="A511" s="2" t="s">
        <v>1222</v>
      </c>
      <c r="B511" s="2" t="s">
        <v>321</v>
      </c>
      <c r="C511" s="2" t="s">
        <v>274</v>
      </c>
      <c r="D511" s="12" t="s">
        <v>322</v>
      </c>
      <c r="E511" s="2" t="s">
        <v>323</v>
      </c>
      <c r="F511" s="2" t="s">
        <v>65</v>
      </c>
      <c r="G511" s="2" t="s">
        <v>2036</v>
      </c>
      <c r="H511" s="2" t="s">
        <v>77</v>
      </c>
      <c r="I511" s="2" t="s">
        <v>324</v>
      </c>
      <c r="J511" s="2">
        <v>100</v>
      </c>
      <c r="K511" s="2" t="s">
        <v>67</v>
      </c>
      <c r="L511" s="16">
        <v>1004960</v>
      </c>
      <c r="M511" s="22">
        <v>502480</v>
      </c>
      <c r="N511" s="2" t="s">
        <v>282</v>
      </c>
      <c r="O511" s="7">
        <v>0</v>
      </c>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c r="AS511" s="7"/>
      <c r="AT511" s="7"/>
      <c r="AU511" s="7"/>
      <c r="AV511" s="7"/>
      <c r="AW511" s="7"/>
      <c r="AX511" s="7"/>
      <c r="AY511" s="7"/>
      <c r="AZ511" s="7"/>
      <c r="BA511" s="7"/>
      <c r="BB511" s="7"/>
      <c r="BC511" s="7"/>
      <c r="BD511" s="7"/>
      <c r="BE511" s="7"/>
      <c r="BF511" s="7"/>
      <c r="BG511" s="7"/>
      <c r="BH511" s="7"/>
      <c r="BI511" s="7"/>
      <c r="BJ511" s="7"/>
      <c r="BK511" s="7"/>
      <c r="BL511" s="7"/>
      <c r="BM511" s="7"/>
      <c r="BN511" s="7">
        <v>502480</v>
      </c>
      <c r="BO511" s="7"/>
      <c r="BP511" s="7"/>
      <c r="BQ511" s="7"/>
      <c r="BR511" s="7"/>
      <c r="BS511" s="7"/>
      <c r="BT511" s="7"/>
      <c r="BU511" s="7"/>
      <c r="BV511" s="7"/>
      <c r="BW511" s="2"/>
      <c r="BX511" s="8">
        <v>46120</v>
      </c>
      <c r="BY511" s="8"/>
      <c r="BZ511" s="8"/>
      <c r="CA511" s="14">
        <f t="shared" si="60"/>
        <v>502480</v>
      </c>
      <c r="CB511" s="2" t="str">
        <f t="shared" si="61"/>
        <v>OK</v>
      </c>
      <c r="CC511" s="13">
        <f t="shared" si="62"/>
        <v>0</v>
      </c>
    </row>
    <row r="512" spans="1:81" s="9" customFormat="1" ht="114" hidden="1" customHeight="1" x14ac:dyDescent="0.25">
      <c r="A512" s="2" t="s">
        <v>1228</v>
      </c>
      <c r="B512" s="2" t="s">
        <v>286</v>
      </c>
      <c r="C512" s="2" t="s">
        <v>274</v>
      </c>
      <c r="D512" s="12" t="s">
        <v>287</v>
      </c>
      <c r="E512" s="6" t="s">
        <v>288</v>
      </c>
      <c r="F512" s="2" t="s">
        <v>65</v>
      </c>
      <c r="G512" s="2" t="s">
        <v>2036</v>
      </c>
      <c r="H512" s="2" t="s">
        <v>77</v>
      </c>
      <c r="I512" s="2" t="s">
        <v>324</v>
      </c>
      <c r="J512" s="2">
        <v>120</v>
      </c>
      <c r="K512" s="2" t="s">
        <v>67</v>
      </c>
      <c r="L512" s="16">
        <v>252377.88</v>
      </c>
      <c r="M512" s="22">
        <v>252377.88</v>
      </c>
      <c r="N512" s="2" t="s">
        <v>282</v>
      </c>
      <c r="O512" s="7">
        <v>0</v>
      </c>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7"/>
      <c r="AO512" s="7"/>
      <c r="AP512" s="7"/>
      <c r="AQ512" s="7"/>
      <c r="AR512" s="7"/>
      <c r="AS512" s="7"/>
      <c r="AT512" s="7"/>
      <c r="AU512" s="7"/>
      <c r="AV512" s="7"/>
      <c r="AW512" s="7"/>
      <c r="AX512" s="7"/>
      <c r="AY512" s="7"/>
      <c r="AZ512" s="7"/>
      <c r="BA512" s="7"/>
      <c r="BB512" s="7"/>
      <c r="BC512" s="7"/>
      <c r="BD512" s="7"/>
      <c r="BE512" s="7"/>
      <c r="BF512" s="7"/>
      <c r="BG512" s="7"/>
      <c r="BH512" s="7"/>
      <c r="BI512" s="7"/>
      <c r="BJ512" s="7"/>
      <c r="BK512" s="7"/>
      <c r="BL512" s="7"/>
      <c r="BM512" s="7"/>
      <c r="BN512" s="7">
        <v>252377.88</v>
      </c>
      <c r="BO512" s="7"/>
      <c r="BP512" s="7"/>
      <c r="BQ512" s="7"/>
      <c r="BR512" s="7"/>
      <c r="BS512" s="7"/>
      <c r="BT512" s="7"/>
      <c r="BU512" s="7"/>
      <c r="BV512" s="7"/>
      <c r="BW512" s="2"/>
      <c r="BX512" s="8">
        <v>46241</v>
      </c>
      <c r="BY512" s="8"/>
      <c r="BZ512" s="8"/>
      <c r="CA512" s="14">
        <f t="shared" si="60"/>
        <v>252377.88</v>
      </c>
      <c r="CB512" s="2" t="str">
        <f t="shared" si="61"/>
        <v>OK</v>
      </c>
      <c r="CC512" s="13">
        <f t="shared" si="62"/>
        <v>0</v>
      </c>
    </row>
    <row r="513" spans="1:81" s="9" customFormat="1" ht="114" hidden="1" customHeight="1" x14ac:dyDescent="0.25">
      <c r="A513" s="57" t="s">
        <v>1575</v>
      </c>
      <c r="B513" s="57" t="s">
        <v>1065</v>
      </c>
      <c r="C513" s="57" t="s">
        <v>1051</v>
      </c>
      <c r="D513" s="84" t="s">
        <v>1066</v>
      </c>
      <c r="E513" s="2"/>
      <c r="F513" s="57" t="s">
        <v>72</v>
      </c>
      <c r="G513" s="57" t="s">
        <v>2020</v>
      </c>
      <c r="H513" s="57" t="s">
        <v>1962</v>
      </c>
      <c r="I513" s="57" t="s">
        <v>5</v>
      </c>
      <c r="J513" s="57" t="s">
        <v>1618</v>
      </c>
      <c r="K513" s="57" t="s">
        <v>384</v>
      </c>
      <c r="L513" s="85">
        <v>55000</v>
      </c>
      <c r="M513" s="85">
        <v>55000</v>
      </c>
      <c r="N513" s="57" t="s">
        <v>33</v>
      </c>
      <c r="O513" s="7">
        <v>0</v>
      </c>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c r="AR513" s="7"/>
      <c r="AS513" s="7"/>
      <c r="AT513" s="7"/>
      <c r="AU513" s="7"/>
      <c r="AV513" s="7"/>
      <c r="AW513" s="7"/>
      <c r="AX513" s="7"/>
      <c r="AY513" s="7"/>
      <c r="AZ513" s="7"/>
      <c r="BA513" s="7"/>
      <c r="BB513" s="7"/>
      <c r="BC513" s="7"/>
      <c r="BD513" s="7"/>
      <c r="BE513" s="7"/>
      <c r="BF513" s="7"/>
      <c r="BG513" s="7"/>
      <c r="BH513" s="7"/>
      <c r="BI513" s="7"/>
      <c r="BJ513" s="7"/>
      <c r="BK513" s="7"/>
      <c r="BL513" s="7"/>
      <c r="BM513" s="7">
        <v>50000</v>
      </c>
      <c r="BN513" s="7"/>
      <c r="BO513" s="7"/>
      <c r="BP513" s="7"/>
      <c r="BQ513" s="7"/>
      <c r="BR513" s="7"/>
      <c r="BS513" s="7"/>
      <c r="BT513" s="7"/>
      <c r="BU513" s="7"/>
      <c r="BV513" s="7"/>
      <c r="BW513" s="59">
        <v>45818</v>
      </c>
      <c r="BX513" s="2"/>
      <c r="BY513" s="57" t="s">
        <v>1800</v>
      </c>
      <c r="BZ513" s="2"/>
      <c r="CA513" s="14">
        <f t="shared" si="60"/>
        <v>50000</v>
      </c>
      <c r="CB513" s="2" t="str">
        <f t="shared" si="61"/>
        <v>CORRIGIR</v>
      </c>
      <c r="CC513" s="13">
        <f t="shared" si="62"/>
        <v>5000</v>
      </c>
    </row>
    <row r="514" spans="1:81" s="9" customFormat="1" ht="114.75" hidden="1" customHeight="1" x14ac:dyDescent="0.25">
      <c r="A514" s="57" t="s">
        <v>1557</v>
      </c>
      <c r="B514" s="57" t="s">
        <v>1033</v>
      </c>
      <c r="C514" s="57" t="s">
        <v>74</v>
      </c>
      <c r="D514" s="84" t="s">
        <v>1034</v>
      </c>
      <c r="E514" s="2"/>
      <c r="F514" s="57" t="s">
        <v>72</v>
      </c>
      <c r="G514" s="57" t="s">
        <v>2023</v>
      </c>
      <c r="H514" s="60" t="s">
        <v>1959</v>
      </c>
      <c r="I514" s="57" t="s">
        <v>5</v>
      </c>
      <c r="J514" s="57">
        <v>1</v>
      </c>
      <c r="K514" s="57" t="s">
        <v>67</v>
      </c>
      <c r="L514" s="85">
        <v>200000</v>
      </c>
      <c r="M514" s="85">
        <v>200000</v>
      </c>
      <c r="N514" s="57" t="s">
        <v>16</v>
      </c>
      <c r="O514" s="7"/>
      <c r="P514" s="7"/>
      <c r="Q514" s="7"/>
      <c r="R514" s="7"/>
      <c r="S514" s="7"/>
      <c r="T514" s="7"/>
      <c r="U514" s="7"/>
      <c r="V514" s="7"/>
      <c r="W514" s="7"/>
      <c r="X514" s="7"/>
      <c r="Y514" s="7"/>
      <c r="Z514" s="7"/>
      <c r="AA514" s="7"/>
      <c r="AB514" s="7"/>
      <c r="AC514" s="7"/>
      <c r="AD514" s="7">
        <v>200000</v>
      </c>
      <c r="AE514" s="7"/>
      <c r="AF514" s="7"/>
      <c r="AG514" s="7"/>
      <c r="AH514" s="7"/>
      <c r="AI514" s="7"/>
      <c r="AJ514" s="7"/>
      <c r="AK514" s="7"/>
      <c r="AL514" s="7"/>
      <c r="AM514" s="7"/>
      <c r="AN514" s="7"/>
      <c r="AO514" s="7"/>
      <c r="AP514" s="7"/>
      <c r="AQ514" s="7"/>
      <c r="AR514" s="7"/>
      <c r="AS514" s="7"/>
      <c r="AT514" s="7"/>
      <c r="AU514" s="7"/>
      <c r="AV514" s="7"/>
      <c r="AW514" s="7"/>
      <c r="AX514" s="7"/>
      <c r="AY514" s="7"/>
      <c r="AZ514" s="7"/>
      <c r="BA514" s="7"/>
      <c r="BB514" s="7"/>
      <c r="BC514" s="7"/>
      <c r="BD514" s="7"/>
      <c r="BE514" s="7"/>
      <c r="BF514" s="7"/>
      <c r="BG514" s="7"/>
      <c r="BH514" s="7"/>
      <c r="BI514" s="7"/>
      <c r="BJ514" s="7"/>
      <c r="BK514" s="7"/>
      <c r="BL514" s="7"/>
      <c r="BM514" s="7"/>
      <c r="BN514" s="7"/>
      <c r="BO514" s="7"/>
      <c r="BP514" s="7"/>
      <c r="BQ514" s="7"/>
      <c r="BR514" s="7"/>
      <c r="BS514" s="7"/>
      <c r="BT514" s="7"/>
      <c r="BU514" s="7"/>
      <c r="BV514" s="7"/>
      <c r="BW514" s="59">
        <v>45736</v>
      </c>
      <c r="BX514" s="2"/>
      <c r="BY514" s="98" t="s">
        <v>1798</v>
      </c>
      <c r="BZ514" s="2"/>
      <c r="CA514" s="14">
        <f t="shared" si="60"/>
        <v>200000</v>
      </c>
      <c r="CB514" s="2" t="str">
        <f t="shared" si="61"/>
        <v>OK</v>
      </c>
      <c r="CC514" s="13">
        <f t="shared" si="62"/>
        <v>0</v>
      </c>
    </row>
    <row r="515" spans="1:81" s="9" customFormat="1" ht="102.75" hidden="1" customHeight="1" x14ac:dyDescent="0.25">
      <c r="A515" s="57" t="s">
        <v>1479</v>
      </c>
      <c r="B515" s="57" t="s">
        <v>854</v>
      </c>
      <c r="C515" s="57" t="s">
        <v>74</v>
      </c>
      <c r="D515" s="84" t="s">
        <v>855</v>
      </c>
      <c r="E515" s="2"/>
      <c r="F515" s="57" t="s">
        <v>65</v>
      </c>
      <c r="G515" s="57" t="s">
        <v>2023</v>
      </c>
      <c r="H515" s="60" t="s">
        <v>1959</v>
      </c>
      <c r="I515" s="57" t="s">
        <v>5</v>
      </c>
      <c r="J515" s="86">
        <v>1800</v>
      </c>
      <c r="K515" s="57" t="s">
        <v>67</v>
      </c>
      <c r="L515" s="85">
        <v>1000000</v>
      </c>
      <c r="M515" s="85">
        <v>1000000</v>
      </c>
      <c r="N515" s="57" t="s">
        <v>39</v>
      </c>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c r="AS515" s="7"/>
      <c r="AT515" s="7"/>
      <c r="AU515" s="7"/>
      <c r="AV515" s="7"/>
      <c r="AW515" s="7"/>
      <c r="AX515" s="7"/>
      <c r="AY515" s="7"/>
      <c r="AZ515" s="7"/>
      <c r="BA515" s="7"/>
      <c r="BB515" s="7"/>
      <c r="BC515" s="7"/>
      <c r="BD515" s="7"/>
      <c r="BE515" s="7"/>
      <c r="BF515" s="7"/>
      <c r="BG515" s="7"/>
      <c r="BH515" s="7"/>
      <c r="BI515" s="7"/>
      <c r="BJ515" s="7"/>
      <c r="BK515" s="7"/>
      <c r="BL515" s="7"/>
      <c r="BM515" s="7"/>
      <c r="BN515" s="7"/>
      <c r="BO515" s="7"/>
      <c r="BP515" s="7"/>
      <c r="BQ515" s="7"/>
      <c r="BR515" s="7"/>
      <c r="BS515" s="7">
        <v>1000000</v>
      </c>
      <c r="BT515" s="7"/>
      <c r="BU515" s="7"/>
      <c r="BV515" s="7"/>
      <c r="BW515" s="59">
        <v>45845</v>
      </c>
      <c r="BX515" s="2"/>
      <c r="BY515" s="57" t="s">
        <v>1798</v>
      </c>
      <c r="BZ515" s="2" t="s">
        <v>1628</v>
      </c>
      <c r="CA515" s="14">
        <f t="shared" si="60"/>
        <v>1000000</v>
      </c>
      <c r="CB515" s="2" t="str">
        <f t="shared" si="61"/>
        <v>OK</v>
      </c>
      <c r="CC515" s="13">
        <f t="shared" si="62"/>
        <v>0</v>
      </c>
    </row>
    <row r="516" spans="1:81" s="9" customFormat="1" ht="67.5" hidden="1" x14ac:dyDescent="0.25">
      <c r="A516" s="94" t="s">
        <v>1382</v>
      </c>
      <c r="B516" s="94" t="s">
        <v>675</v>
      </c>
      <c r="C516" s="94" t="s">
        <v>676</v>
      </c>
      <c r="D516" s="95" t="s">
        <v>677</v>
      </c>
      <c r="E516" s="2"/>
      <c r="F516" s="94" t="s">
        <v>65</v>
      </c>
      <c r="G516" s="94" t="s">
        <v>2023</v>
      </c>
      <c r="H516" s="94" t="s">
        <v>1989</v>
      </c>
      <c r="I516" s="94" t="s">
        <v>5</v>
      </c>
      <c r="J516" s="94">
        <v>5</v>
      </c>
      <c r="K516" s="94" t="s">
        <v>67</v>
      </c>
      <c r="L516" s="89">
        <f>18735-18735</f>
        <v>0</v>
      </c>
      <c r="M516" s="89">
        <f>18735-18735</f>
        <v>0</v>
      </c>
      <c r="N516" s="87" t="s">
        <v>16</v>
      </c>
      <c r="O516" s="7"/>
      <c r="P516" s="7"/>
      <c r="Q516" s="7"/>
      <c r="R516" s="7"/>
      <c r="S516" s="7"/>
      <c r="T516" s="7"/>
      <c r="U516" s="7"/>
      <c r="V516" s="7"/>
      <c r="W516" s="7"/>
      <c r="X516" s="7"/>
      <c r="Y516" s="7"/>
      <c r="Z516" s="7"/>
      <c r="AA516" s="7"/>
      <c r="AB516" s="7"/>
      <c r="AC516" s="7"/>
      <c r="AD516" s="7">
        <v>18735</v>
      </c>
      <c r="AE516" s="7"/>
      <c r="AF516" s="7"/>
      <c r="AG516" s="7"/>
      <c r="AH516" s="7"/>
      <c r="AI516" s="7"/>
      <c r="AJ516" s="7"/>
      <c r="AK516" s="7"/>
      <c r="AL516" s="7"/>
      <c r="AM516" s="7"/>
      <c r="AN516" s="7"/>
      <c r="AO516" s="7"/>
      <c r="AP516" s="7"/>
      <c r="AQ516" s="7"/>
      <c r="AR516" s="7"/>
      <c r="AS516" s="7"/>
      <c r="AT516" s="7"/>
      <c r="AU516" s="7"/>
      <c r="AV516" s="7"/>
      <c r="AW516" s="7"/>
      <c r="AX516" s="7"/>
      <c r="AY516" s="7"/>
      <c r="AZ516" s="7"/>
      <c r="BA516" s="7"/>
      <c r="BB516" s="7"/>
      <c r="BC516" s="7"/>
      <c r="BD516" s="7"/>
      <c r="BE516" s="7"/>
      <c r="BF516" s="7"/>
      <c r="BG516" s="7"/>
      <c r="BH516" s="7"/>
      <c r="BI516" s="7"/>
      <c r="BJ516" s="7"/>
      <c r="BK516" s="7"/>
      <c r="BL516" s="7"/>
      <c r="BM516" s="7"/>
      <c r="BN516" s="7"/>
      <c r="BO516" s="7"/>
      <c r="BP516" s="7"/>
      <c r="BQ516" s="7"/>
      <c r="BR516" s="7"/>
      <c r="BS516" s="7"/>
      <c r="BT516" s="7"/>
      <c r="BU516" s="7"/>
      <c r="BV516" s="7"/>
      <c r="BW516" s="90">
        <v>45898</v>
      </c>
      <c r="BX516" s="2"/>
      <c r="BY516" s="97" t="s">
        <v>1800</v>
      </c>
      <c r="BZ516" s="2"/>
      <c r="CA516" s="14">
        <f t="shared" si="60"/>
        <v>18735</v>
      </c>
      <c r="CB516" s="2" t="str">
        <f t="shared" si="61"/>
        <v>CORRIGIR</v>
      </c>
      <c r="CC516" s="13">
        <f t="shared" si="62"/>
        <v>-18735</v>
      </c>
    </row>
    <row r="517" spans="1:81" ht="109.5" hidden="1" customHeight="1" x14ac:dyDescent="0.25">
      <c r="A517" s="87" t="s">
        <v>1383</v>
      </c>
      <c r="B517" s="87" t="s">
        <v>678</v>
      </c>
      <c r="C517" s="87" t="s">
        <v>676</v>
      </c>
      <c r="D517" s="88" t="s">
        <v>679</v>
      </c>
      <c r="E517" s="9"/>
      <c r="F517" s="87" t="s">
        <v>65</v>
      </c>
      <c r="G517" s="87" t="s">
        <v>2023</v>
      </c>
      <c r="H517" s="87" t="s">
        <v>1989</v>
      </c>
      <c r="I517" s="87" t="s">
        <v>5</v>
      </c>
      <c r="J517" s="87">
        <v>5</v>
      </c>
      <c r="K517" s="87" t="s">
        <v>67</v>
      </c>
      <c r="L517" s="89">
        <f>18735-18735</f>
        <v>0</v>
      </c>
      <c r="M517" s="89">
        <f>18735-18735</f>
        <v>0</v>
      </c>
      <c r="N517" s="87" t="s">
        <v>16</v>
      </c>
      <c r="O517" s="44"/>
      <c r="P517" s="44"/>
      <c r="Q517" s="44"/>
      <c r="R517" s="44"/>
      <c r="S517" s="44"/>
      <c r="T517" s="44"/>
      <c r="U517" s="44"/>
      <c r="V517" s="44"/>
      <c r="W517" s="44"/>
      <c r="X517" s="44"/>
      <c r="Y517" s="44"/>
      <c r="Z517" s="44"/>
      <c r="AA517" s="44"/>
      <c r="AB517" s="44"/>
      <c r="AC517" s="44"/>
      <c r="AD517" s="44">
        <v>18735</v>
      </c>
      <c r="AE517" s="44"/>
      <c r="AF517" s="44"/>
      <c r="AG517" s="44"/>
      <c r="AH517" s="44"/>
      <c r="AI517" s="44"/>
      <c r="AJ517" s="44"/>
      <c r="AK517" s="44"/>
      <c r="AL517" s="44"/>
      <c r="AM517" s="44"/>
      <c r="AN517" s="44"/>
      <c r="AO517" s="44"/>
      <c r="AP517" s="44"/>
      <c r="AQ517" s="44"/>
      <c r="AR517" s="44"/>
      <c r="AS517" s="44"/>
      <c r="AT517" s="44"/>
      <c r="AU517" s="44"/>
      <c r="AV517" s="44"/>
      <c r="AW517" s="44"/>
      <c r="AX517" s="44"/>
      <c r="AY517" s="44"/>
      <c r="AZ517" s="44"/>
      <c r="BA517" s="44"/>
      <c r="BB517" s="44"/>
      <c r="BC517" s="44"/>
      <c r="BD517" s="44"/>
      <c r="BE517" s="44"/>
      <c r="BF517" s="44"/>
      <c r="BG517" s="44"/>
      <c r="BH517" s="44"/>
      <c r="BI517" s="44"/>
      <c r="BJ517" s="44"/>
      <c r="BK517" s="44"/>
      <c r="BL517" s="44"/>
      <c r="BM517" s="44"/>
      <c r="BN517" s="44"/>
      <c r="BO517" s="44"/>
      <c r="BP517" s="44"/>
      <c r="BQ517" s="44"/>
      <c r="BR517" s="44"/>
      <c r="BS517" s="44"/>
      <c r="BT517" s="44"/>
      <c r="BU517" s="44"/>
      <c r="BV517" s="44"/>
      <c r="BW517" s="90">
        <v>45898</v>
      </c>
      <c r="BX517" s="9"/>
      <c r="BY517" s="87" t="s">
        <v>1798</v>
      </c>
    </row>
    <row r="518" spans="1:81" ht="115.5" hidden="1" customHeight="1" x14ac:dyDescent="0.25">
      <c r="A518" s="57" t="s">
        <v>1462</v>
      </c>
      <c r="B518" s="57" t="s">
        <v>821</v>
      </c>
      <c r="C518" s="57" t="s">
        <v>676</v>
      </c>
      <c r="D518" s="84" t="s">
        <v>822</v>
      </c>
      <c r="E518" s="9"/>
      <c r="F518" s="57" t="s">
        <v>65</v>
      </c>
      <c r="G518" s="57" t="s">
        <v>2023</v>
      </c>
      <c r="H518" s="60" t="s">
        <v>1970</v>
      </c>
      <c r="I518" s="57" t="s">
        <v>5</v>
      </c>
      <c r="J518" s="57">
        <v>6</v>
      </c>
      <c r="K518" s="57" t="s">
        <v>67</v>
      </c>
      <c r="L518" s="85">
        <f>34110-34110</f>
        <v>0</v>
      </c>
      <c r="M518" s="85">
        <f>34110-34110</f>
        <v>0</v>
      </c>
      <c r="N518" s="57" t="s">
        <v>16</v>
      </c>
      <c r="O518" s="44"/>
      <c r="P518" s="44"/>
      <c r="Q518" s="44"/>
      <c r="R518" s="44"/>
      <c r="S518" s="44"/>
      <c r="T518" s="44"/>
      <c r="U518" s="44"/>
      <c r="V518" s="44"/>
      <c r="W518" s="44"/>
      <c r="X518" s="44"/>
      <c r="Y518" s="44"/>
      <c r="Z518" s="44"/>
      <c r="AA518" s="44"/>
      <c r="AB518" s="44"/>
      <c r="AC518" s="44"/>
      <c r="AD518" s="44">
        <v>34110</v>
      </c>
      <c r="AE518" s="44"/>
      <c r="AF518" s="44"/>
      <c r="AG518" s="44"/>
      <c r="AH518" s="44"/>
      <c r="AI518" s="44"/>
      <c r="AJ518" s="44"/>
      <c r="AK518" s="44"/>
      <c r="AL518" s="44"/>
      <c r="AM518" s="44"/>
      <c r="AN518" s="44"/>
      <c r="AO518" s="44"/>
      <c r="AP518" s="44"/>
      <c r="AQ518" s="44"/>
      <c r="AR518" s="44"/>
      <c r="AS518" s="44"/>
      <c r="AT518" s="44"/>
      <c r="AU518" s="44"/>
      <c r="AV518" s="44"/>
      <c r="AW518" s="44"/>
      <c r="AX518" s="44"/>
      <c r="AY518" s="44"/>
      <c r="AZ518" s="44"/>
      <c r="BA518" s="44"/>
      <c r="BB518" s="44"/>
      <c r="BC518" s="44"/>
      <c r="BD518" s="44"/>
      <c r="BE518" s="44"/>
      <c r="BF518" s="44"/>
      <c r="BG518" s="44"/>
      <c r="BH518" s="44"/>
      <c r="BI518" s="44"/>
      <c r="BJ518" s="44"/>
      <c r="BK518" s="44"/>
      <c r="BL518" s="44"/>
      <c r="BM518" s="44"/>
      <c r="BN518" s="44"/>
      <c r="BO518" s="44"/>
      <c r="BP518" s="44"/>
      <c r="BQ518" s="44"/>
      <c r="BR518" s="44"/>
      <c r="BS518" s="44"/>
      <c r="BT518" s="44"/>
      <c r="BU518" s="44"/>
      <c r="BV518" s="44"/>
      <c r="BW518" s="59">
        <v>45897</v>
      </c>
      <c r="BX518" s="9"/>
      <c r="BY518" s="57" t="s">
        <v>1798</v>
      </c>
    </row>
    <row r="519" spans="1:81" ht="60" customHeight="1" x14ac:dyDescent="0.25">
      <c r="K519" s="18"/>
    </row>
    <row r="520" spans="1:81" ht="60" customHeight="1" x14ac:dyDescent="0.25">
      <c r="K520" s="18"/>
    </row>
  </sheetData>
  <sheetProtection sort="0" autoFilter="0" pivotTables="0"/>
  <autoFilter ref="A3:BY518" xr:uid="{D5337F79-C16E-47CB-9590-28BB9E7D9E8F}">
    <filterColumn colId="6">
      <filters>
        <filter val="Bem de Consumo - TIC"/>
        <filter val="Bem Permanente - Equipamentos"/>
        <filter val="Bem Permanente - Mobiliário"/>
        <filter val="Bem Permanente - TIC"/>
        <filter val="Evento Formativo para Aluno"/>
        <filter val="Evento Institucional"/>
        <filter val="Formação/Capacitação para Servidor"/>
        <filter val="Gênero alimentício"/>
        <filter val="Imóvel - Aquisição"/>
        <filter val="Imóvel - Locação"/>
        <filter val="Material de Consumo para Evento"/>
        <filter val="Material de expediente e consumo"/>
        <filter val="Material/livro didático"/>
        <filter val="Obras e Serviços de Engenharia"/>
        <filter val="Serviço Público - Monopólio DIOES"/>
        <filter val="Serviços de Engenharia"/>
        <filter val="Serviços Terceirizados - Atendimento Pedagógico Especializado Complementar"/>
        <filter val="Serviços Terceirizados - DEMO"/>
        <filter val="Serviços Terceirizados - Sem DEMO"/>
        <filter val="Serviços Terceirizados - Serviço Bancário"/>
        <filter val="Serviços Terceirizados - TIC"/>
        <filter val="Serviços Terceirizados - Transporte de Servidor"/>
        <filter val="Serviços Terceirizados - Transporte Escolar"/>
        <filter val="Serviços Terceirizados - Transporte Eventos"/>
        <filter val="Serviços Terceirizados - Vaga em Curso Técnico para Aluno"/>
      </filters>
    </filterColumn>
    <filterColumn colId="7">
      <filters>
        <filter val="Nova"/>
      </filters>
    </filterColumn>
    <sortState xmlns:xlrd2="http://schemas.microsoft.com/office/spreadsheetml/2017/richdata2" ref="A73:BY73">
      <sortCondition ref="A3:A518"/>
    </sortState>
  </autoFilter>
  <sortState xmlns:xlrd2="http://schemas.microsoft.com/office/spreadsheetml/2017/richdata2" ref="A7:CD520">
    <sortCondition ref="BW3:BW520"/>
  </sortState>
  <mergeCells count="2">
    <mergeCell ref="A1:BY1"/>
    <mergeCell ref="A2:BY2"/>
  </mergeCells>
  <conditionalFormatting sqref="D292">
    <cfRule type="duplicateValues" dxfId="1" priority="2"/>
  </conditionalFormatting>
  <conditionalFormatting sqref="E512">
    <cfRule type="expression" priority="30">
      <formula>L513:L982&gt;M513:M982</formula>
    </cfRule>
  </conditionalFormatting>
  <conditionalFormatting sqref="M3:M6 M11:M13">
    <cfRule type="expression" priority="1704">
      <formula>L4:L489&gt;M4:M489</formula>
    </cfRule>
  </conditionalFormatting>
  <conditionalFormatting sqref="M7:M8 M14">
    <cfRule type="expression" priority="1635">
      <formula>L9:L493&gt;M9:M493</formula>
    </cfRule>
  </conditionalFormatting>
  <conditionalFormatting sqref="M9:M10">
    <cfRule type="expression" priority="1653">
      <formula>L10:L494&gt;M10:M494</formula>
    </cfRule>
  </conditionalFormatting>
  <conditionalFormatting sqref="M15">
    <cfRule type="expression" priority="1636">
      <formula>L17:L503&gt;M17:M503</formula>
    </cfRule>
  </conditionalFormatting>
  <conditionalFormatting sqref="M16">
    <cfRule type="expression" priority="1637">
      <formula>L17:L500&gt;M17:M500</formula>
    </cfRule>
  </conditionalFormatting>
  <conditionalFormatting sqref="M17 M30:M31">
    <cfRule type="expression" priority="1632">
      <formula>L18:L504&gt;M18:M504</formula>
    </cfRule>
  </conditionalFormatting>
  <conditionalFormatting sqref="M18">
    <cfRule type="expression" priority="1527">
      <formula>L19:L510&gt;M19:M510</formula>
    </cfRule>
  </conditionalFormatting>
  <conditionalFormatting sqref="M19">
    <cfRule type="expression" priority="1633">
      <formula>L21:L510&gt;M21:M510</formula>
    </cfRule>
  </conditionalFormatting>
  <conditionalFormatting sqref="M21:M22">
    <cfRule type="expression" priority="1709">
      <formula>L22:L510&gt;M22:M510</formula>
    </cfRule>
  </conditionalFormatting>
  <conditionalFormatting sqref="M23:M24">
    <cfRule type="expression" priority="1710">
      <formula>L25:L512&gt;M25:M512</formula>
    </cfRule>
  </conditionalFormatting>
  <conditionalFormatting sqref="M25:M29">
    <cfRule type="expression" priority="1671">
      <formula>L26:L513&gt;M26:M513</formula>
    </cfRule>
  </conditionalFormatting>
  <conditionalFormatting sqref="M32:M38">
    <cfRule type="expression" priority="1712">
      <formula>L33:L511&gt;M33:M511</formula>
    </cfRule>
  </conditionalFormatting>
  <conditionalFormatting sqref="M58">
    <cfRule type="expression" priority="1591">
      <formula>L59:L517&gt;M59:M517</formula>
    </cfRule>
  </conditionalFormatting>
  <conditionalFormatting sqref="M61">
    <cfRule type="expression" priority="1534">
      <formula>L62:L518&gt;M62:M518</formula>
    </cfRule>
  </conditionalFormatting>
  <conditionalFormatting sqref="M62">
    <cfRule type="expression" priority="1340">
      <formula>L63:L518&gt;M63:M518</formula>
    </cfRule>
  </conditionalFormatting>
  <conditionalFormatting sqref="M63:M67">
    <cfRule type="expression" priority="1713">
      <formula>L64:L518&gt;M64:M518</formula>
    </cfRule>
  </conditionalFormatting>
  <conditionalFormatting sqref="M68:M69 M71">
    <cfRule type="expression" priority="1602">
      <formula>L70:L523&gt;M70:M523</formula>
    </cfRule>
  </conditionalFormatting>
  <conditionalFormatting sqref="M70">
    <cfRule type="expression" priority="1604">
      <formula>L71:L524&gt;M71:M524</formula>
    </cfRule>
  </conditionalFormatting>
  <conditionalFormatting sqref="M72">
    <cfRule type="expression" priority="1605">
      <formula>L78:L527&gt;M78:M527</formula>
    </cfRule>
  </conditionalFormatting>
  <conditionalFormatting sqref="M73">
    <cfRule type="expression" priority="1606">
      <formula>L78:L527&gt;M78:M527</formula>
    </cfRule>
  </conditionalFormatting>
  <conditionalFormatting sqref="M75">
    <cfRule type="expression" priority="1607">
      <formula>L79:L528&gt;M79:M528</formula>
    </cfRule>
  </conditionalFormatting>
  <conditionalFormatting sqref="M78 M82:M83">
    <cfRule type="expression" priority="1538">
      <formula>L79:L528&gt;M79:M528</formula>
    </cfRule>
  </conditionalFormatting>
  <conditionalFormatting sqref="M84">
    <cfRule type="expression" priority="1717">
      <formula>L86:L534&gt;M86:M534</formula>
    </cfRule>
  </conditionalFormatting>
  <conditionalFormatting sqref="M86:M87">
    <cfRule type="expression" priority="1716">
      <formula>L87:L535&gt;M87:M535</formula>
    </cfRule>
  </conditionalFormatting>
  <conditionalFormatting sqref="M88:M95">
    <cfRule type="expression" priority="1679">
      <formula>L89:L538&gt;M89:M538</formula>
    </cfRule>
  </conditionalFormatting>
  <conditionalFormatting sqref="M96">
    <cfRule type="expression" priority="1569">
      <formula>L99:L546&gt;M99:M546</formula>
    </cfRule>
  </conditionalFormatting>
  <conditionalFormatting sqref="M100:M102 M253">
    <cfRule type="expression" priority="1680">
      <formula>L101:L548&gt;M101:M548</formula>
    </cfRule>
  </conditionalFormatting>
  <conditionalFormatting sqref="M103:M104 M255:M256">
    <cfRule type="expression" priority="1681">
      <formula>L105:L551&gt;M105:M551</formula>
    </cfRule>
  </conditionalFormatting>
  <conditionalFormatting sqref="M105:M108 M116:M134 M158:M167 M171:M172 M178:M179 M181 M214 M221 M227:M229 M236 M239 M241:M245 M250 M257 M263:M265 M267:M274">
    <cfRule type="expression" priority="1371">
      <formula>L106:L552&gt;M106:M552</formula>
    </cfRule>
  </conditionalFormatting>
  <conditionalFormatting sqref="M109">
    <cfRule type="expression" priority="1391">
      <formula>L111:L556&gt;M111:M556</formula>
    </cfRule>
  </conditionalFormatting>
  <conditionalFormatting sqref="M111:M113 M115 M138:M157 M184:M186 M188:M201 M203:M213 M233:M235">
    <cfRule type="expression" priority="1698">
      <formula>L112:L557&gt;M112:M557</formula>
    </cfRule>
  </conditionalFormatting>
  <conditionalFormatting sqref="M136">
    <cfRule type="expression" priority="1426">
      <formula>L138:L583&gt;M138:M583</formula>
    </cfRule>
  </conditionalFormatting>
  <conditionalFormatting sqref="M169">
    <cfRule type="expression" priority="1399">
      <formula>L170:L616&gt;M170:M616</formula>
    </cfRule>
  </conditionalFormatting>
  <conditionalFormatting sqref="M182:M183 M230:M231">
    <cfRule type="expression" priority="1623">
      <formula>L184:L629&gt;M184:M629</formula>
    </cfRule>
  </conditionalFormatting>
  <conditionalFormatting sqref="M275:M276">
    <cfRule type="expression" priority="1376">
      <formula>L278:L722&gt;M278:M722</formula>
    </cfRule>
  </conditionalFormatting>
  <conditionalFormatting sqref="M278:M279 M282:M287">
    <cfRule type="expression" priority="5">
      <formula>L279:L723&gt;M279:M723</formula>
    </cfRule>
  </conditionalFormatting>
  <conditionalFormatting sqref="M306:M307 M310:M319">
    <cfRule type="expression" priority="25">
      <formula>L307:L750&gt;M307:M750</formula>
    </cfRule>
  </conditionalFormatting>
  <conditionalFormatting sqref="M321">
    <cfRule type="expression" priority="20">
      <formula>L323:L765&gt;M323:M765</formula>
    </cfRule>
  </conditionalFormatting>
  <conditionalFormatting sqref="M322 M325:M331">
    <cfRule type="expression" priority="21">
      <formula>L323:L765&gt;M323:M765</formula>
    </cfRule>
  </conditionalFormatting>
  <conditionalFormatting sqref="M332:M333">
    <cfRule type="expression" priority="32">
      <formula>L336:L775&gt;M336:M775</formula>
    </cfRule>
  </conditionalFormatting>
  <conditionalFormatting sqref="M334">
    <cfRule type="expression" priority="33">
      <formula>L337:L776&gt;M337:M776</formula>
    </cfRule>
  </conditionalFormatting>
  <conditionalFormatting sqref="M335">
    <cfRule type="expression" priority="9">
      <formula>L337:L776&gt;M337:M776</formula>
    </cfRule>
  </conditionalFormatting>
  <conditionalFormatting sqref="M336:M342">
    <cfRule type="expression" priority="26">
      <formula>L337:L776&gt;M337:M776</formula>
    </cfRule>
  </conditionalFormatting>
  <conditionalFormatting sqref="M343">
    <cfRule type="expression" priority="27">
      <formula>L345:L783&gt;M345:M783</formula>
    </cfRule>
  </conditionalFormatting>
  <conditionalFormatting sqref="M344">
    <cfRule type="expression" priority="34">
      <formula>L518:L987&gt;M518:M987</formula>
    </cfRule>
  </conditionalFormatting>
  <conditionalFormatting sqref="M345:M346">
    <cfRule type="expression" priority="35">
      <formula>L346:L784&gt;M346:M784</formula>
    </cfRule>
  </conditionalFormatting>
  <conditionalFormatting sqref="M347">
    <cfRule type="expression" priority="36">
      <formula>L349:L786&gt;M349:M786</formula>
    </cfRule>
  </conditionalFormatting>
  <conditionalFormatting sqref="M349:M351">
    <cfRule type="expression" priority="37">
      <formula>L353:L787&gt;M353:M787</formula>
    </cfRule>
  </conditionalFormatting>
  <conditionalFormatting sqref="M353:M356 M358:M367 M369:M373 M379:M389 M392 M394:M396 M400:M405 M407:M412 M417 M422 M434:M435 M437:M438 M440 M442:M443 M445:M446 M449:M450 M453:M455 M457:M470 M473:M480 M484:M487 M489 M492">
    <cfRule type="expression" priority="28">
      <formula>L354:L788&gt;M354:M788</formula>
    </cfRule>
  </conditionalFormatting>
  <conditionalFormatting sqref="M374 M448">
    <cfRule type="expression" priority="38">
      <formula>L376:L809&gt;M376:M809</formula>
    </cfRule>
  </conditionalFormatting>
  <conditionalFormatting sqref="M376:M378">
    <cfRule type="expression" priority="39">
      <formula>L377:L810&gt;M377:M810</formula>
    </cfRule>
  </conditionalFormatting>
  <conditionalFormatting sqref="M471">
    <cfRule type="expression" priority="40">
      <formula>L472:L928&gt;M472:M928</formula>
    </cfRule>
  </conditionalFormatting>
  <conditionalFormatting sqref="M516">
    <cfRule type="expression" priority="41">
      <formula>L518:L986&gt;M518:M986</formula>
    </cfRule>
  </conditionalFormatting>
  <conditionalFormatting sqref="M517">
    <cfRule type="expression" priority="42">
      <formula>L518:L990&gt;M518:M990</formula>
    </cfRule>
  </conditionalFormatting>
  <conditionalFormatting sqref="M518">
    <cfRule type="expression" priority="29">
      <formula>L519:L992&gt;M519:M992</formula>
    </cfRule>
  </conditionalFormatting>
  <conditionalFormatting sqref="M519:M1048102">
    <cfRule type="expression" priority="6">
      <formula>L520:L995&gt;M520:M995</formula>
    </cfRule>
  </conditionalFormatting>
  <conditionalFormatting sqref="M1048103:M1048576">
    <cfRule type="expression" priority="3">
      <formula>L1:L1048104&gt;M1:M1048104</formula>
    </cfRule>
  </conditionalFormatting>
  <pageMargins left="0.51181102362204722" right="0.51181102362204722" top="0.78740157480314965" bottom="0.78740157480314965" header="0.31496062992125984" footer="0.31496062992125984"/>
  <pageSetup paperSize="8" scale="83" orientation="landscape" r:id="rId1"/>
  <rowBreaks count="1" manualBreakCount="1">
    <brk id="317" max="78" man="1"/>
  </rowBreaks>
  <colBreaks count="2" manualBreakCount="2">
    <brk id="77" max="514" man="1"/>
    <brk id="78"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48CF5-2FEB-4783-9A7C-588FCC31DBDB}">
  <sheetPr filterMode="1"/>
  <dimension ref="A1:BW477"/>
  <sheetViews>
    <sheetView showGridLines="0" view="pageBreakPreview" topLeftCell="D1" zoomScale="120" zoomScaleNormal="110" zoomScaleSheetLayoutView="120" workbookViewId="0">
      <selection sqref="A1:BS447"/>
    </sheetView>
  </sheetViews>
  <sheetFormatPr defaultColWidth="14.42578125" defaultRowHeight="11.25" x14ac:dyDescent="0.25"/>
  <cols>
    <col min="1" max="1" width="14.42578125" style="4"/>
    <col min="2" max="2" width="17.140625" style="4" hidden="1" customWidth="1"/>
    <col min="3" max="3" width="12.5703125" style="4" customWidth="1"/>
    <col min="4" max="4" width="30.42578125" style="35" bestFit="1" customWidth="1"/>
    <col min="5" max="5" width="17.42578125" style="4" hidden="1" customWidth="1"/>
    <col min="6" max="8" width="15.7109375" style="4" customWidth="1"/>
    <col min="9" max="9" width="12.28515625" style="4" customWidth="1"/>
    <col min="10" max="10" width="12.7109375" style="4" customWidth="1"/>
    <col min="11" max="11" width="14" style="4" customWidth="1"/>
    <col min="12" max="12" width="15.5703125" style="10" customWidth="1"/>
    <col min="13" max="13" width="19.5703125" style="10" customWidth="1"/>
    <col min="14" max="14" width="21.5703125" style="4" customWidth="1"/>
    <col min="15" max="67" width="21.5703125" style="10" hidden="1" customWidth="1"/>
    <col min="68" max="68" width="15.28515625" style="4" hidden="1" customWidth="1"/>
    <col min="69" max="69" width="14.42578125" style="4" customWidth="1"/>
    <col min="70" max="70" width="15" style="4" hidden="1" customWidth="1"/>
    <col min="71" max="71" width="14.42578125" style="4" customWidth="1"/>
    <col min="72" max="72" width="17" style="4" hidden="1" customWidth="1"/>
    <col min="73" max="73" width="14.42578125" style="4" hidden="1" customWidth="1"/>
    <col min="74" max="74" width="15.7109375" style="4" hidden="1" customWidth="1"/>
    <col min="75" max="16384" width="14.42578125" style="4"/>
  </cols>
  <sheetData>
    <row r="1" spans="1:74" ht="42" customHeight="1" x14ac:dyDescent="0.25">
      <c r="A1" s="115" t="s">
        <v>1818</v>
      </c>
      <c r="B1" s="115"/>
      <c r="C1" s="115"/>
      <c r="D1" s="115"/>
      <c r="E1" s="115"/>
      <c r="F1" s="115"/>
      <c r="G1" s="115"/>
      <c r="H1" s="115"/>
      <c r="I1" s="115"/>
      <c r="J1" s="115"/>
      <c r="K1" s="115"/>
      <c r="L1" s="119"/>
      <c r="M1" s="119"/>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row>
    <row r="2" spans="1:74" ht="18" x14ac:dyDescent="0.25">
      <c r="A2" s="120" t="s">
        <v>2172</v>
      </c>
      <c r="B2" s="121"/>
      <c r="C2" s="120"/>
      <c r="D2" s="122"/>
      <c r="E2" s="123"/>
      <c r="F2" s="120"/>
      <c r="G2" s="120"/>
      <c r="H2" s="120"/>
      <c r="I2" s="120"/>
      <c r="J2" s="120"/>
      <c r="K2" s="120"/>
      <c r="L2" s="124"/>
      <c r="M2" s="124"/>
      <c r="N2" s="120"/>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5"/>
      <c r="BQ2" s="120"/>
      <c r="BR2" s="123"/>
      <c r="BS2" s="120"/>
    </row>
    <row r="3" spans="1:74" s="37" customFormat="1" ht="90" x14ac:dyDescent="0.25">
      <c r="A3" s="100" t="s">
        <v>1149</v>
      </c>
      <c r="B3" s="80" t="s">
        <v>0</v>
      </c>
      <c r="C3" s="100" t="s">
        <v>1150</v>
      </c>
      <c r="D3" s="101" t="s">
        <v>1</v>
      </c>
      <c r="E3" s="39" t="s">
        <v>2</v>
      </c>
      <c r="F3" s="100" t="s">
        <v>3</v>
      </c>
      <c r="G3" s="100" t="s">
        <v>1658</v>
      </c>
      <c r="H3" s="100" t="s">
        <v>4</v>
      </c>
      <c r="I3" s="100" t="s">
        <v>5</v>
      </c>
      <c r="J3" s="100" t="s">
        <v>6</v>
      </c>
      <c r="K3" s="100" t="s">
        <v>7</v>
      </c>
      <c r="L3" s="102" t="s">
        <v>8</v>
      </c>
      <c r="M3" s="102" t="s">
        <v>1631</v>
      </c>
      <c r="N3" s="100" t="s">
        <v>9</v>
      </c>
      <c r="O3" s="5" t="s">
        <v>10</v>
      </c>
      <c r="P3" s="5" t="s">
        <v>1130</v>
      </c>
      <c r="Q3" s="5" t="s">
        <v>1134</v>
      </c>
      <c r="R3" s="5" t="s">
        <v>1135</v>
      </c>
      <c r="S3" s="5" t="s">
        <v>11</v>
      </c>
      <c r="T3" s="5" t="s">
        <v>12</v>
      </c>
      <c r="U3" s="5" t="s">
        <v>13</v>
      </c>
      <c r="V3" s="5" t="s">
        <v>14</v>
      </c>
      <c r="W3" s="5" t="s">
        <v>15</v>
      </c>
      <c r="X3" s="5" t="s">
        <v>16</v>
      </c>
      <c r="Y3" s="5" t="s">
        <v>17</v>
      </c>
      <c r="Z3" s="5" t="s">
        <v>18</v>
      </c>
      <c r="AA3" s="5" t="s">
        <v>19</v>
      </c>
      <c r="AB3" s="5" t="s">
        <v>20</v>
      </c>
      <c r="AC3" s="5" t="s">
        <v>21</v>
      </c>
      <c r="AD3" s="5" t="s">
        <v>22</v>
      </c>
      <c r="AE3" s="5" t="s">
        <v>23</v>
      </c>
      <c r="AF3" s="5" t="s">
        <v>24</v>
      </c>
      <c r="AG3" s="5" t="s">
        <v>25</v>
      </c>
      <c r="AH3" s="5" t="s">
        <v>26</v>
      </c>
      <c r="AI3" s="5" t="s">
        <v>27</v>
      </c>
      <c r="AJ3" s="5" t="s">
        <v>28</v>
      </c>
      <c r="AK3" s="5" t="s">
        <v>29</v>
      </c>
      <c r="AL3" s="5" t="s">
        <v>30</v>
      </c>
      <c r="AM3" s="5" t="s">
        <v>31</v>
      </c>
      <c r="AN3" s="5" t="s">
        <v>32</v>
      </c>
      <c r="AO3" s="5" t="s">
        <v>33</v>
      </c>
      <c r="AP3" s="5" t="s">
        <v>34</v>
      </c>
      <c r="AQ3" s="5" t="s">
        <v>35</v>
      </c>
      <c r="AR3" s="5" t="s">
        <v>36</v>
      </c>
      <c r="AS3" s="5" t="s">
        <v>37</v>
      </c>
      <c r="AT3" s="5" t="s">
        <v>38</v>
      </c>
      <c r="AU3" s="5" t="s">
        <v>39</v>
      </c>
      <c r="AV3" s="5" t="s">
        <v>40</v>
      </c>
      <c r="AW3" s="5" t="s">
        <v>41</v>
      </c>
      <c r="AX3" s="5" t="s">
        <v>42</v>
      </c>
      <c r="AY3" s="5" t="s">
        <v>43</v>
      </c>
      <c r="AZ3" s="5" t="s">
        <v>44</v>
      </c>
      <c r="BA3" s="5" t="s">
        <v>45</v>
      </c>
      <c r="BB3" s="5" t="s">
        <v>46</v>
      </c>
      <c r="BC3" s="5" t="s">
        <v>47</v>
      </c>
      <c r="BD3" s="5" t="s">
        <v>48</v>
      </c>
      <c r="BE3" s="5" t="s">
        <v>49</v>
      </c>
      <c r="BF3" s="5" t="s">
        <v>50</v>
      </c>
      <c r="BG3" s="5" t="s">
        <v>51</v>
      </c>
      <c r="BH3" s="5" t="s">
        <v>52</v>
      </c>
      <c r="BI3" s="5" t="s">
        <v>53</v>
      </c>
      <c r="BJ3" s="5" t="s">
        <v>54</v>
      </c>
      <c r="BK3" s="5" t="s">
        <v>55</v>
      </c>
      <c r="BL3" s="5" t="s">
        <v>56</v>
      </c>
      <c r="BM3" s="5" t="s">
        <v>57</v>
      </c>
      <c r="BN3" s="5" t="s">
        <v>58</v>
      </c>
      <c r="BO3" s="40" t="s">
        <v>59</v>
      </c>
      <c r="BP3" s="36" t="s">
        <v>60</v>
      </c>
      <c r="BQ3" s="100" t="s">
        <v>61</v>
      </c>
      <c r="BR3" s="36" t="s">
        <v>1151</v>
      </c>
      <c r="BS3" s="100" t="s">
        <v>1696</v>
      </c>
      <c r="BT3" s="4"/>
      <c r="BU3" s="4"/>
      <c r="BV3" s="4"/>
    </row>
    <row r="4" spans="1:74" s="9" customFormat="1" ht="33.75" hidden="1" x14ac:dyDescent="0.25">
      <c r="A4" s="2" t="s">
        <v>1424</v>
      </c>
      <c r="B4" s="2" t="s">
        <v>1122</v>
      </c>
      <c r="C4" s="2" t="s">
        <v>681</v>
      </c>
      <c r="D4" s="12" t="s">
        <v>1123</v>
      </c>
      <c r="E4" s="2"/>
      <c r="F4" s="2" t="s">
        <v>72</v>
      </c>
      <c r="G4" s="2" t="s">
        <v>1641</v>
      </c>
      <c r="H4" s="2" t="s">
        <v>66</v>
      </c>
      <c r="I4" s="23" t="s">
        <v>1618</v>
      </c>
      <c r="J4" s="2" t="s">
        <v>1618</v>
      </c>
      <c r="K4" s="2" t="s">
        <v>67</v>
      </c>
      <c r="L4" s="7">
        <v>517310</v>
      </c>
      <c r="M4" s="7">
        <v>517310</v>
      </c>
      <c r="N4" s="2" t="s">
        <v>14</v>
      </c>
      <c r="O4" s="7"/>
      <c r="P4" s="7"/>
      <c r="Q4" s="7"/>
      <c r="R4" s="7"/>
      <c r="S4" s="7"/>
      <c r="T4" s="7"/>
      <c r="U4" s="7"/>
      <c r="V4" s="7">
        <v>517310</v>
      </c>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8">
        <v>45777</v>
      </c>
      <c r="BQ4" s="2"/>
      <c r="BR4" s="2" t="s">
        <v>1801</v>
      </c>
      <c r="BS4" s="21"/>
      <c r="BT4" s="14">
        <f>SUM(O4:BO4)</f>
        <v>517310</v>
      </c>
      <c r="BU4" s="2" t="str">
        <f>IF(M4=BT4,"OK","CORRIGIR")</f>
        <v>OK</v>
      </c>
      <c r="BV4" s="13">
        <f>M4-BT4</f>
        <v>0</v>
      </c>
    </row>
    <row r="5" spans="1:74" s="9" customFormat="1" ht="45" hidden="1" x14ac:dyDescent="0.25">
      <c r="A5" s="2" t="s">
        <v>1630</v>
      </c>
      <c r="B5" s="3" t="s">
        <v>1623</v>
      </c>
      <c r="C5" s="2" t="s">
        <v>1048</v>
      </c>
      <c r="D5" s="34" t="s">
        <v>1624</v>
      </c>
      <c r="E5" s="2"/>
      <c r="F5" s="2" t="s">
        <v>1692</v>
      </c>
      <c r="G5" s="2" t="s">
        <v>1641</v>
      </c>
      <c r="H5" s="2" t="s">
        <v>66</v>
      </c>
      <c r="I5" s="2" t="s">
        <v>5</v>
      </c>
      <c r="J5" s="2" t="s">
        <v>1614</v>
      </c>
      <c r="K5" s="2" t="s">
        <v>67</v>
      </c>
      <c r="L5" s="17">
        <v>150000</v>
      </c>
      <c r="M5" s="17">
        <v>150000</v>
      </c>
      <c r="N5" s="2" t="s">
        <v>14</v>
      </c>
      <c r="O5" s="7"/>
      <c r="P5" s="7"/>
      <c r="Q5" s="7"/>
      <c r="R5" s="7"/>
      <c r="S5" s="7"/>
      <c r="T5" s="7"/>
      <c r="U5" s="7"/>
      <c r="V5" s="28">
        <v>150000</v>
      </c>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8">
        <v>45777</v>
      </c>
      <c r="BQ5" s="2"/>
      <c r="BR5" s="2" t="s">
        <v>1800</v>
      </c>
      <c r="BS5" s="2"/>
      <c r="BT5" s="14">
        <f t="shared" ref="BT5:BT68" si="0">SUM(O5:BO5)</f>
        <v>150000</v>
      </c>
      <c r="BU5" s="2" t="str">
        <f t="shared" ref="BU5:BU68" si="1">IF(M5=BT5,"OK","CORRIGIR")</f>
        <v>OK</v>
      </c>
      <c r="BV5" s="13">
        <f t="shared" ref="BV5:BV68" si="2">M5-BT5</f>
        <v>0</v>
      </c>
    </row>
    <row r="6" spans="1:74" s="9" customFormat="1" ht="33.75" hidden="1" x14ac:dyDescent="0.25">
      <c r="A6" s="2" t="s">
        <v>1535</v>
      </c>
      <c r="B6" s="2" t="s">
        <v>691</v>
      </c>
      <c r="C6" s="2" t="s">
        <v>681</v>
      </c>
      <c r="D6" s="12" t="s">
        <v>692</v>
      </c>
      <c r="E6" s="2"/>
      <c r="F6" s="2" t="s">
        <v>65</v>
      </c>
      <c r="G6" s="2" t="s">
        <v>1641</v>
      </c>
      <c r="H6" s="2" t="s">
        <v>66</v>
      </c>
      <c r="I6" s="2" t="s">
        <v>5</v>
      </c>
      <c r="J6" s="2">
        <v>1</v>
      </c>
      <c r="K6" s="2" t="s">
        <v>67</v>
      </c>
      <c r="L6" s="22">
        <v>2100</v>
      </c>
      <c r="M6" s="22">
        <v>2100</v>
      </c>
      <c r="N6" s="2" t="s">
        <v>14</v>
      </c>
      <c r="O6" s="7">
        <v>0</v>
      </c>
      <c r="P6" s="7"/>
      <c r="Q6" s="7"/>
      <c r="R6" s="7"/>
      <c r="S6" s="7"/>
      <c r="T6" s="7"/>
      <c r="U6" s="7"/>
      <c r="V6" s="7">
        <v>2100</v>
      </c>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8">
        <v>45796</v>
      </c>
      <c r="BQ6" s="2"/>
      <c r="BR6" s="2" t="s">
        <v>1798</v>
      </c>
      <c r="BS6" s="1" t="s">
        <v>1695</v>
      </c>
      <c r="BT6" s="14">
        <f t="shared" si="0"/>
        <v>2100</v>
      </c>
      <c r="BU6" s="2" t="str">
        <f t="shared" si="1"/>
        <v>OK</v>
      </c>
      <c r="BV6" s="13">
        <f t="shared" si="2"/>
        <v>0</v>
      </c>
    </row>
    <row r="7" spans="1:74" s="9" customFormat="1" ht="33.75" hidden="1" x14ac:dyDescent="0.25">
      <c r="A7" s="2" t="s">
        <v>1454</v>
      </c>
      <c r="B7" s="2" t="s">
        <v>1104</v>
      </c>
      <c r="C7" s="2" t="s">
        <v>681</v>
      </c>
      <c r="D7" s="12" t="s">
        <v>1105</v>
      </c>
      <c r="E7" s="2"/>
      <c r="F7" s="2" t="s">
        <v>72</v>
      </c>
      <c r="G7" s="2" t="s">
        <v>1641</v>
      </c>
      <c r="H7" s="2" t="s">
        <v>66</v>
      </c>
      <c r="I7" s="15" t="s">
        <v>5</v>
      </c>
      <c r="J7" s="15" t="s">
        <v>1618</v>
      </c>
      <c r="K7" s="2" t="s">
        <v>67</v>
      </c>
      <c r="L7" s="22">
        <v>122500.5</v>
      </c>
      <c r="M7" s="22">
        <v>122500.5</v>
      </c>
      <c r="N7" s="2" t="s">
        <v>14</v>
      </c>
      <c r="O7" s="7"/>
      <c r="P7" s="7"/>
      <c r="Q7" s="7"/>
      <c r="R7" s="7"/>
      <c r="S7" s="7">
        <v>0</v>
      </c>
      <c r="T7" s="7"/>
      <c r="U7" s="7"/>
      <c r="V7" s="7">
        <v>122500.5</v>
      </c>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8">
        <v>45824</v>
      </c>
      <c r="BQ7" s="15"/>
      <c r="BR7" s="15" t="s">
        <v>1801</v>
      </c>
      <c r="BS7" s="1" t="s">
        <v>1695</v>
      </c>
      <c r="BT7" s="14">
        <f t="shared" si="0"/>
        <v>122500.5</v>
      </c>
      <c r="BU7" s="2" t="str">
        <f t="shared" si="1"/>
        <v>OK</v>
      </c>
      <c r="BV7" s="13">
        <f t="shared" si="2"/>
        <v>0</v>
      </c>
    </row>
    <row r="8" spans="1:74" s="9" customFormat="1" ht="33.75" hidden="1" x14ac:dyDescent="0.25">
      <c r="A8" s="2" t="s">
        <v>1455</v>
      </c>
      <c r="B8" s="2" t="s">
        <v>817</v>
      </c>
      <c r="C8" s="2" t="s">
        <v>681</v>
      </c>
      <c r="D8" s="12" t="s">
        <v>818</v>
      </c>
      <c r="E8" s="2"/>
      <c r="F8" s="2" t="s">
        <v>72</v>
      </c>
      <c r="G8" s="2" t="s">
        <v>1641</v>
      </c>
      <c r="H8" s="2" t="s">
        <v>66</v>
      </c>
      <c r="I8" s="2" t="s">
        <v>5</v>
      </c>
      <c r="J8" s="2" t="s">
        <v>1618</v>
      </c>
      <c r="K8" s="2" t="s">
        <v>67</v>
      </c>
      <c r="L8" s="22">
        <v>121900</v>
      </c>
      <c r="M8" s="22">
        <v>121900</v>
      </c>
      <c r="N8" s="2" t="s">
        <v>14</v>
      </c>
      <c r="O8" s="7">
        <v>0</v>
      </c>
      <c r="P8" s="7"/>
      <c r="Q8" s="7"/>
      <c r="R8" s="7"/>
      <c r="S8" s="7"/>
      <c r="T8" s="7"/>
      <c r="U8" s="7"/>
      <c r="V8" s="7">
        <v>121900</v>
      </c>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8">
        <v>45824</v>
      </c>
      <c r="BQ8" s="2"/>
      <c r="BR8" s="2" t="s">
        <v>1800</v>
      </c>
      <c r="BS8" s="1" t="s">
        <v>1695</v>
      </c>
      <c r="BT8" s="14">
        <f t="shared" si="0"/>
        <v>121900</v>
      </c>
      <c r="BU8" s="2" t="str">
        <f t="shared" si="1"/>
        <v>OK</v>
      </c>
      <c r="BV8" s="13">
        <f t="shared" si="2"/>
        <v>0</v>
      </c>
    </row>
    <row r="9" spans="1:74" s="9" customFormat="1" ht="33.75" hidden="1" x14ac:dyDescent="0.25">
      <c r="A9" s="2" t="s">
        <v>1437</v>
      </c>
      <c r="B9" s="2" t="s">
        <v>694</v>
      </c>
      <c r="C9" s="2" t="s">
        <v>681</v>
      </c>
      <c r="D9" s="12" t="s">
        <v>695</v>
      </c>
      <c r="E9" s="2"/>
      <c r="F9" s="2" t="s">
        <v>72</v>
      </c>
      <c r="G9" s="2" t="s">
        <v>1641</v>
      </c>
      <c r="H9" s="2" t="s">
        <v>66</v>
      </c>
      <c r="I9" s="2" t="s">
        <v>5</v>
      </c>
      <c r="J9" s="23">
        <v>2500</v>
      </c>
      <c r="K9" s="2" t="s">
        <v>67</v>
      </c>
      <c r="L9" s="22">
        <v>283400</v>
      </c>
      <c r="M9" s="22">
        <v>283400</v>
      </c>
      <c r="N9" s="2" t="s">
        <v>14</v>
      </c>
      <c r="O9" s="7">
        <v>0</v>
      </c>
      <c r="P9" s="7"/>
      <c r="Q9" s="7"/>
      <c r="R9" s="7"/>
      <c r="S9" s="7"/>
      <c r="T9" s="7"/>
      <c r="U9" s="7"/>
      <c r="V9" s="7">
        <v>283400</v>
      </c>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8">
        <v>45909</v>
      </c>
      <c r="BQ9" s="2"/>
      <c r="BR9" s="2" t="s">
        <v>1801</v>
      </c>
      <c r="BS9" s="1" t="s">
        <v>1695</v>
      </c>
      <c r="BT9" s="14">
        <f t="shared" si="0"/>
        <v>283400</v>
      </c>
      <c r="BU9" s="2" t="str">
        <f t="shared" si="1"/>
        <v>OK</v>
      </c>
      <c r="BV9" s="13">
        <f t="shared" si="2"/>
        <v>0</v>
      </c>
    </row>
    <row r="10" spans="1:74" s="9" customFormat="1" ht="33.75" hidden="1" x14ac:dyDescent="0.25">
      <c r="A10" s="2" t="s">
        <v>1452</v>
      </c>
      <c r="B10" s="2" t="s">
        <v>766</v>
      </c>
      <c r="C10" s="2" t="s">
        <v>681</v>
      </c>
      <c r="D10" s="12" t="s">
        <v>1147</v>
      </c>
      <c r="E10" s="2"/>
      <c r="F10" s="2" t="s">
        <v>72</v>
      </c>
      <c r="G10" s="2" t="s">
        <v>1641</v>
      </c>
      <c r="H10" s="2" t="s">
        <v>66</v>
      </c>
      <c r="I10" s="2" t="s">
        <v>5</v>
      </c>
      <c r="J10" s="2" t="s">
        <v>1618</v>
      </c>
      <c r="K10" s="2" t="s">
        <v>67</v>
      </c>
      <c r="L10" s="22">
        <v>130904.53</v>
      </c>
      <c r="M10" s="22">
        <v>130904.53</v>
      </c>
      <c r="N10" s="2" t="s">
        <v>14</v>
      </c>
      <c r="O10" s="7"/>
      <c r="P10" s="7"/>
      <c r="Q10" s="7"/>
      <c r="R10" s="7"/>
      <c r="S10" s="7"/>
      <c r="T10" s="7"/>
      <c r="U10" s="7"/>
      <c r="V10" s="7">
        <f>M10</f>
        <v>130904.53</v>
      </c>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8">
        <v>45936</v>
      </c>
      <c r="BQ10" s="2"/>
      <c r="BR10" s="2" t="s">
        <v>1801</v>
      </c>
      <c r="BS10" s="1" t="s">
        <v>1695</v>
      </c>
      <c r="BT10" s="14">
        <f t="shared" si="0"/>
        <v>130904.53</v>
      </c>
      <c r="BU10" s="2" t="str">
        <f t="shared" si="1"/>
        <v>OK</v>
      </c>
      <c r="BV10" s="13">
        <f t="shared" si="2"/>
        <v>0</v>
      </c>
    </row>
    <row r="11" spans="1:74" s="9" customFormat="1" ht="33.75" hidden="1" x14ac:dyDescent="0.25">
      <c r="A11" s="2" t="s">
        <v>1476</v>
      </c>
      <c r="B11" s="2" t="s">
        <v>696</v>
      </c>
      <c r="C11" s="2" t="s">
        <v>681</v>
      </c>
      <c r="D11" s="12" t="s">
        <v>697</v>
      </c>
      <c r="E11" s="2"/>
      <c r="F11" s="2" t="s">
        <v>72</v>
      </c>
      <c r="G11" s="2" t="s">
        <v>1641</v>
      </c>
      <c r="H11" s="2" t="s">
        <v>66</v>
      </c>
      <c r="I11" s="2" t="s">
        <v>1618</v>
      </c>
      <c r="J11" s="2" t="s">
        <v>1618</v>
      </c>
      <c r="K11" s="2" t="s">
        <v>67</v>
      </c>
      <c r="L11" s="22">
        <v>58639.22</v>
      </c>
      <c r="M11" s="22">
        <v>58639.22</v>
      </c>
      <c r="N11" s="2" t="s">
        <v>14</v>
      </c>
      <c r="O11" s="7">
        <v>0</v>
      </c>
      <c r="P11" s="7"/>
      <c r="Q11" s="7"/>
      <c r="R11" s="7"/>
      <c r="S11" s="7"/>
      <c r="T11" s="7"/>
      <c r="U11" s="7"/>
      <c r="V11" s="7">
        <f>M11</f>
        <v>58639.22</v>
      </c>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8">
        <v>45950</v>
      </c>
      <c r="BQ11" s="2"/>
      <c r="BR11" s="2" t="s">
        <v>1799</v>
      </c>
      <c r="BS11" s="2"/>
      <c r="BT11" s="14">
        <f t="shared" si="0"/>
        <v>58639.22</v>
      </c>
      <c r="BU11" s="2" t="str">
        <f t="shared" si="1"/>
        <v>OK</v>
      </c>
      <c r="BV11" s="13">
        <f t="shared" si="2"/>
        <v>0</v>
      </c>
    </row>
    <row r="12" spans="1:74" s="9" customFormat="1" ht="67.5" hidden="1" x14ac:dyDescent="0.25">
      <c r="A12" s="24" t="s">
        <v>1572</v>
      </c>
      <c r="B12" s="24" t="s">
        <v>1067</v>
      </c>
      <c r="C12" s="24" t="s">
        <v>1051</v>
      </c>
      <c r="D12" s="69" t="s">
        <v>1068</v>
      </c>
      <c r="E12" s="2"/>
      <c r="F12" s="24" t="s">
        <v>72</v>
      </c>
      <c r="G12" s="24" t="s">
        <v>1687</v>
      </c>
      <c r="H12" s="24" t="s">
        <v>66</v>
      </c>
      <c r="I12" s="24" t="s">
        <v>319</v>
      </c>
      <c r="J12" s="24" t="s">
        <v>1618</v>
      </c>
      <c r="K12" s="24" t="s">
        <v>67</v>
      </c>
      <c r="L12" s="70">
        <v>250000</v>
      </c>
      <c r="M12" s="70">
        <v>250000</v>
      </c>
      <c r="N12" s="24" t="s">
        <v>33</v>
      </c>
      <c r="O12" s="7">
        <v>0</v>
      </c>
      <c r="P12" s="7"/>
      <c r="Q12" s="7"/>
      <c r="R12" s="7"/>
      <c r="S12" s="7"/>
      <c r="T12" s="7"/>
      <c r="U12" s="7"/>
      <c r="V12" s="7"/>
      <c r="W12" s="7"/>
      <c r="X12" s="7"/>
      <c r="Y12" s="7"/>
      <c r="Z12" s="7"/>
      <c r="AA12" s="7"/>
      <c r="AB12" s="7"/>
      <c r="AC12" s="7"/>
      <c r="AD12" s="7"/>
      <c r="AE12" s="7"/>
      <c r="AF12" s="7"/>
      <c r="AG12" s="7"/>
      <c r="AH12" s="7"/>
      <c r="AI12" s="7"/>
      <c r="AJ12" s="7"/>
      <c r="AK12" s="7"/>
      <c r="AL12" s="7"/>
      <c r="AM12" s="7"/>
      <c r="AN12" s="7"/>
      <c r="AO12" s="7">
        <v>250000</v>
      </c>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8">
        <v>45791</v>
      </c>
      <c r="BQ12" s="24"/>
      <c r="BR12" s="2" t="s">
        <v>1799</v>
      </c>
      <c r="BS12" s="71" t="s">
        <v>1697</v>
      </c>
      <c r="BT12" s="14">
        <f t="shared" si="0"/>
        <v>250000</v>
      </c>
      <c r="BU12" s="2" t="str">
        <f t="shared" si="1"/>
        <v>OK</v>
      </c>
      <c r="BV12" s="13">
        <f t="shared" si="2"/>
        <v>0</v>
      </c>
    </row>
    <row r="13" spans="1:74" s="9" customFormat="1" ht="67.5" x14ac:dyDescent="0.25">
      <c r="A13" s="2" t="s">
        <v>1421</v>
      </c>
      <c r="B13" s="2" t="s">
        <v>901</v>
      </c>
      <c r="C13" s="2" t="s">
        <v>681</v>
      </c>
      <c r="D13" s="12" t="s">
        <v>1858</v>
      </c>
      <c r="E13" s="2" t="s">
        <v>1781</v>
      </c>
      <c r="F13" s="2" t="s">
        <v>65</v>
      </c>
      <c r="G13" s="2" t="s">
        <v>2025</v>
      </c>
      <c r="H13" s="2" t="s">
        <v>294</v>
      </c>
      <c r="I13" s="2" t="s">
        <v>5</v>
      </c>
      <c r="J13" s="2">
        <v>1</v>
      </c>
      <c r="K13" s="2" t="s">
        <v>67</v>
      </c>
      <c r="L13" s="22">
        <v>674398.42</v>
      </c>
      <c r="M13" s="22">
        <v>674398.42</v>
      </c>
      <c r="N13" s="2" t="s">
        <v>14</v>
      </c>
      <c r="O13" s="7">
        <v>0</v>
      </c>
      <c r="P13" s="7"/>
      <c r="Q13" s="7"/>
      <c r="R13" s="7"/>
      <c r="S13" s="7"/>
      <c r="T13" s="7"/>
      <c r="U13" s="7"/>
      <c r="V13" s="7">
        <v>674398.42</v>
      </c>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8"/>
      <c r="BQ13" s="8">
        <v>45663</v>
      </c>
      <c r="BR13" s="2"/>
      <c r="BS13" s="1" t="s">
        <v>1780</v>
      </c>
      <c r="BT13" s="14">
        <f t="shared" si="0"/>
        <v>674398.42</v>
      </c>
      <c r="BU13" s="2" t="str">
        <f t="shared" si="1"/>
        <v>OK</v>
      </c>
      <c r="BV13" s="13">
        <f t="shared" si="2"/>
        <v>0</v>
      </c>
    </row>
    <row r="14" spans="1:74" s="9" customFormat="1" ht="56.25" hidden="1" x14ac:dyDescent="0.25">
      <c r="A14" s="2" t="s">
        <v>1629</v>
      </c>
      <c r="B14" s="2" t="s">
        <v>1619</v>
      </c>
      <c r="C14" s="2" t="s">
        <v>1048</v>
      </c>
      <c r="D14" s="12" t="s">
        <v>1621</v>
      </c>
      <c r="E14" s="2"/>
      <c r="F14" s="2" t="s">
        <v>72</v>
      </c>
      <c r="G14" s="2" t="s">
        <v>1667</v>
      </c>
      <c r="H14" s="7" t="s">
        <v>66</v>
      </c>
      <c r="I14" s="7" t="s">
        <v>5</v>
      </c>
      <c r="J14" s="7" t="s">
        <v>1618</v>
      </c>
      <c r="K14" s="7" t="s">
        <v>384</v>
      </c>
      <c r="L14" s="7">
        <v>80679.360000000001</v>
      </c>
      <c r="M14" s="7">
        <v>80679.360000000001</v>
      </c>
      <c r="N14" s="2" t="s">
        <v>11</v>
      </c>
      <c r="O14" s="7"/>
      <c r="P14" s="7"/>
      <c r="Q14" s="7"/>
      <c r="R14" s="7"/>
      <c r="S14" s="26">
        <v>80679.360000000001</v>
      </c>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2"/>
      <c r="BF14" s="2"/>
      <c r="BG14" s="2"/>
      <c r="BH14" s="2"/>
      <c r="BI14" s="2"/>
      <c r="BJ14" s="2"/>
      <c r="BK14" s="2"/>
      <c r="BL14" s="2"/>
      <c r="BM14" s="2"/>
      <c r="BN14" s="2"/>
      <c r="BO14" s="2"/>
      <c r="BP14" s="8">
        <v>45717</v>
      </c>
      <c r="BQ14" s="2"/>
      <c r="BR14" s="2" t="s">
        <v>1799</v>
      </c>
      <c r="BS14" s="1" t="s">
        <v>1698</v>
      </c>
      <c r="BT14" s="14">
        <f t="shared" si="0"/>
        <v>80679.360000000001</v>
      </c>
      <c r="BU14" s="2" t="str">
        <f t="shared" si="1"/>
        <v>OK</v>
      </c>
      <c r="BV14" s="13">
        <f t="shared" si="2"/>
        <v>0</v>
      </c>
    </row>
    <row r="15" spans="1:74" s="9" customFormat="1" ht="78.75" hidden="1" x14ac:dyDescent="0.25">
      <c r="A15" s="2" t="s">
        <v>1372</v>
      </c>
      <c r="B15" s="2" t="s">
        <v>522</v>
      </c>
      <c r="C15" s="2" t="s">
        <v>379</v>
      </c>
      <c r="D15" s="12" t="s">
        <v>523</v>
      </c>
      <c r="E15" s="2"/>
      <c r="F15" s="2" t="s">
        <v>72</v>
      </c>
      <c r="G15" s="2" t="s">
        <v>1667</v>
      </c>
      <c r="H15" s="2" t="s">
        <v>66</v>
      </c>
      <c r="I15" s="2" t="s">
        <v>5</v>
      </c>
      <c r="J15" s="2" t="s">
        <v>1618</v>
      </c>
      <c r="K15" s="2" t="s">
        <v>384</v>
      </c>
      <c r="L15" s="22">
        <v>95448.639999999999</v>
      </c>
      <c r="M15" s="22">
        <v>95448.639999999999</v>
      </c>
      <c r="N15" s="2" t="s">
        <v>11</v>
      </c>
      <c r="O15" s="7"/>
      <c r="P15" s="7"/>
      <c r="Q15" s="7"/>
      <c r="R15" s="7"/>
      <c r="S15" s="7">
        <f>M15</f>
        <v>95448.639999999999</v>
      </c>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8">
        <v>45749</v>
      </c>
      <c r="BQ15" s="2"/>
      <c r="BR15" s="2" t="s">
        <v>1801</v>
      </c>
      <c r="BS15" s="1" t="s">
        <v>1695</v>
      </c>
      <c r="BT15" s="14">
        <f t="shared" si="0"/>
        <v>95448.639999999999</v>
      </c>
      <c r="BU15" s="2" t="str">
        <f t="shared" si="1"/>
        <v>OK</v>
      </c>
      <c r="BV15" s="13">
        <f t="shared" si="2"/>
        <v>0</v>
      </c>
    </row>
    <row r="16" spans="1:74" s="9" customFormat="1" ht="56.25" hidden="1" x14ac:dyDescent="0.25">
      <c r="A16" s="2" t="s">
        <v>1423</v>
      </c>
      <c r="B16" s="2" t="s">
        <v>1122</v>
      </c>
      <c r="C16" s="2" t="s">
        <v>681</v>
      </c>
      <c r="D16" s="12" t="s">
        <v>1123</v>
      </c>
      <c r="E16" s="2"/>
      <c r="F16" s="2" t="s">
        <v>72</v>
      </c>
      <c r="G16" s="2" t="s">
        <v>1667</v>
      </c>
      <c r="H16" s="2" t="s">
        <v>66</v>
      </c>
      <c r="I16" s="2" t="s">
        <v>1618</v>
      </c>
      <c r="J16" s="2" t="s">
        <v>1618</v>
      </c>
      <c r="K16" s="2" t="s">
        <v>384</v>
      </c>
      <c r="L16" s="7">
        <v>231693</v>
      </c>
      <c r="M16" s="22">
        <v>231693</v>
      </c>
      <c r="N16" s="2" t="s">
        <v>11</v>
      </c>
      <c r="O16" s="7"/>
      <c r="P16" s="7"/>
      <c r="Q16" s="7"/>
      <c r="R16" s="7"/>
      <c r="S16" s="7"/>
      <c r="T16" s="7"/>
      <c r="U16" s="7"/>
      <c r="V16" s="7">
        <f>M16</f>
        <v>231693</v>
      </c>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8">
        <v>45777</v>
      </c>
      <c r="BQ16" s="2"/>
      <c r="BR16" s="2" t="s">
        <v>1801</v>
      </c>
      <c r="BS16" s="1" t="s">
        <v>1695</v>
      </c>
      <c r="BT16" s="14">
        <f t="shared" si="0"/>
        <v>231693</v>
      </c>
      <c r="BU16" s="2" t="str">
        <f t="shared" si="1"/>
        <v>OK</v>
      </c>
      <c r="BV16" s="13">
        <f t="shared" si="2"/>
        <v>0</v>
      </c>
    </row>
    <row r="17" spans="1:74" s="9" customFormat="1" ht="168.75" hidden="1" x14ac:dyDescent="0.25">
      <c r="A17" s="2" t="s">
        <v>1256</v>
      </c>
      <c r="B17" s="2" t="s">
        <v>399</v>
      </c>
      <c r="C17" s="2" t="s">
        <v>379</v>
      </c>
      <c r="D17" s="12" t="s">
        <v>1754</v>
      </c>
      <c r="E17" s="2"/>
      <c r="F17" s="2" t="s">
        <v>1691</v>
      </c>
      <c r="G17" s="2" t="s">
        <v>1667</v>
      </c>
      <c r="H17" s="2" t="s">
        <v>66</v>
      </c>
      <c r="I17" s="2" t="s">
        <v>5</v>
      </c>
      <c r="J17" s="2" t="s">
        <v>1618</v>
      </c>
      <c r="K17" s="2" t="s">
        <v>384</v>
      </c>
      <c r="L17" s="22">
        <v>43192538</v>
      </c>
      <c r="M17" s="22">
        <v>10000000</v>
      </c>
      <c r="N17" s="2" t="s">
        <v>387</v>
      </c>
      <c r="O17" s="7"/>
      <c r="P17" s="7">
        <v>10000000</v>
      </c>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8">
        <v>45777</v>
      </c>
      <c r="BQ17" s="2"/>
      <c r="BR17" s="2" t="s">
        <v>1801</v>
      </c>
      <c r="BS17" s="1" t="s">
        <v>1695</v>
      </c>
      <c r="BT17" s="14">
        <f t="shared" si="0"/>
        <v>10000000</v>
      </c>
      <c r="BU17" s="2" t="str">
        <f t="shared" si="1"/>
        <v>OK</v>
      </c>
      <c r="BV17" s="13">
        <f t="shared" si="2"/>
        <v>0</v>
      </c>
    </row>
    <row r="18" spans="1:74" s="9" customFormat="1" ht="56.25" hidden="1" x14ac:dyDescent="0.25">
      <c r="A18" s="2" t="s">
        <v>1547</v>
      </c>
      <c r="B18" s="2" t="s">
        <v>891</v>
      </c>
      <c r="C18" s="2" t="s">
        <v>681</v>
      </c>
      <c r="D18" s="12" t="s">
        <v>892</v>
      </c>
      <c r="E18" s="2"/>
      <c r="F18" s="2" t="s">
        <v>72</v>
      </c>
      <c r="G18" s="2" t="s">
        <v>1667</v>
      </c>
      <c r="H18" s="2" t="s">
        <v>66</v>
      </c>
      <c r="I18" s="2" t="s">
        <v>5</v>
      </c>
      <c r="J18" s="2" t="s">
        <v>1618</v>
      </c>
      <c r="K18" s="2" t="s">
        <v>384</v>
      </c>
      <c r="L18" s="22">
        <v>174983.8</v>
      </c>
      <c r="M18" s="22">
        <v>174983.8</v>
      </c>
      <c r="N18" s="2" t="s">
        <v>11</v>
      </c>
      <c r="O18" s="7">
        <v>0</v>
      </c>
      <c r="P18" s="7"/>
      <c r="Q18" s="7"/>
      <c r="R18" s="7"/>
      <c r="S18" s="7">
        <v>174983.8</v>
      </c>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8">
        <v>45782</v>
      </c>
      <c r="BQ18" s="2"/>
      <c r="BR18" s="2" t="s">
        <v>1801</v>
      </c>
      <c r="BS18" s="1" t="s">
        <v>1695</v>
      </c>
      <c r="BT18" s="14">
        <f t="shared" si="0"/>
        <v>174983.8</v>
      </c>
      <c r="BU18" s="2" t="str">
        <f t="shared" si="1"/>
        <v>OK</v>
      </c>
      <c r="BV18" s="13">
        <f t="shared" si="2"/>
        <v>0</v>
      </c>
    </row>
    <row r="19" spans="1:74" s="9" customFormat="1" ht="67.5" hidden="1" x14ac:dyDescent="0.25">
      <c r="A19" s="2" t="s">
        <v>1564</v>
      </c>
      <c r="B19" s="2" t="s">
        <v>1050</v>
      </c>
      <c r="C19" s="2" t="s">
        <v>1051</v>
      </c>
      <c r="D19" s="12" t="s">
        <v>1052</v>
      </c>
      <c r="E19" s="2"/>
      <c r="F19" s="2" t="s">
        <v>1691</v>
      </c>
      <c r="G19" s="2" t="s">
        <v>1667</v>
      </c>
      <c r="H19" s="2" t="s">
        <v>66</v>
      </c>
      <c r="I19" s="2" t="s">
        <v>5</v>
      </c>
      <c r="J19" s="23">
        <v>2100</v>
      </c>
      <c r="K19" s="2" t="s">
        <v>384</v>
      </c>
      <c r="L19" s="22">
        <v>234216792</v>
      </c>
      <c r="M19" s="22">
        <v>107999965.2</v>
      </c>
      <c r="N19" s="2" t="s">
        <v>33</v>
      </c>
      <c r="O19" s="7">
        <v>0</v>
      </c>
      <c r="P19" s="7"/>
      <c r="Q19" s="7"/>
      <c r="R19" s="7"/>
      <c r="S19" s="7"/>
      <c r="T19" s="7"/>
      <c r="U19" s="7"/>
      <c r="V19" s="7"/>
      <c r="W19" s="7"/>
      <c r="X19" s="7"/>
      <c r="Y19" s="7"/>
      <c r="Z19" s="7"/>
      <c r="AA19" s="7"/>
      <c r="AB19" s="7"/>
      <c r="AC19" s="7"/>
      <c r="AD19" s="7"/>
      <c r="AE19" s="7"/>
      <c r="AF19" s="7"/>
      <c r="AG19" s="7"/>
      <c r="AH19" s="7"/>
      <c r="AI19" s="7"/>
      <c r="AJ19" s="7"/>
      <c r="AK19" s="7"/>
      <c r="AL19" s="7"/>
      <c r="AM19" s="7"/>
      <c r="AN19" s="7"/>
      <c r="AO19" s="30">
        <v>107999965.2</v>
      </c>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8">
        <v>45807</v>
      </c>
      <c r="BQ19" s="2"/>
      <c r="BR19" s="2" t="s">
        <v>1799</v>
      </c>
      <c r="BS19" s="1" t="s">
        <v>1695</v>
      </c>
      <c r="BT19" s="14">
        <f t="shared" si="0"/>
        <v>107999965.2</v>
      </c>
      <c r="BU19" s="2" t="str">
        <f t="shared" si="1"/>
        <v>OK</v>
      </c>
      <c r="BV19" s="13">
        <f t="shared" si="2"/>
        <v>0</v>
      </c>
    </row>
    <row r="20" spans="1:74" s="9" customFormat="1" ht="56.25" hidden="1" x14ac:dyDescent="0.25">
      <c r="A20" s="2" t="s">
        <v>1603</v>
      </c>
      <c r="B20" s="2" t="s">
        <v>1119</v>
      </c>
      <c r="C20" s="2" t="s">
        <v>681</v>
      </c>
      <c r="D20" s="12" t="s">
        <v>1131</v>
      </c>
      <c r="E20" s="2"/>
      <c r="F20" s="2" t="s">
        <v>72</v>
      </c>
      <c r="G20" s="2" t="s">
        <v>1667</v>
      </c>
      <c r="H20" s="2" t="s">
        <v>66</v>
      </c>
      <c r="I20" s="2" t="s">
        <v>1815</v>
      </c>
      <c r="J20" s="2">
        <v>1</v>
      </c>
      <c r="K20" s="2" t="s">
        <v>384</v>
      </c>
      <c r="L20" s="7">
        <v>88000</v>
      </c>
      <c r="M20" s="22">
        <v>88000</v>
      </c>
      <c r="N20" s="23" t="s">
        <v>11</v>
      </c>
      <c r="O20" s="7"/>
      <c r="P20" s="7"/>
      <c r="Q20" s="7"/>
      <c r="R20" s="7"/>
      <c r="S20" s="7">
        <f>M20</f>
        <v>88000</v>
      </c>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8">
        <v>45810</v>
      </c>
      <c r="BQ20" s="2"/>
      <c r="BR20" s="2" t="s">
        <v>1799</v>
      </c>
      <c r="BS20" s="1" t="s">
        <v>1695</v>
      </c>
      <c r="BT20" s="14">
        <f t="shared" si="0"/>
        <v>88000</v>
      </c>
      <c r="BU20" s="2" t="str">
        <f t="shared" si="1"/>
        <v>OK</v>
      </c>
      <c r="BV20" s="13">
        <f t="shared" si="2"/>
        <v>0</v>
      </c>
    </row>
    <row r="21" spans="1:74" s="9" customFormat="1" ht="56.25" hidden="1" x14ac:dyDescent="0.25">
      <c r="A21" s="2" t="s">
        <v>1450</v>
      </c>
      <c r="B21" s="2" t="s">
        <v>799</v>
      </c>
      <c r="C21" s="2" t="s">
        <v>681</v>
      </c>
      <c r="D21" s="12" t="s">
        <v>800</v>
      </c>
      <c r="E21" s="2"/>
      <c r="F21" s="2" t="s">
        <v>72</v>
      </c>
      <c r="G21" s="2" t="s">
        <v>1667</v>
      </c>
      <c r="H21" s="2" t="s">
        <v>66</v>
      </c>
      <c r="I21" s="2" t="s">
        <v>1618</v>
      </c>
      <c r="J21" s="2" t="s">
        <v>1618</v>
      </c>
      <c r="K21" s="2" t="s">
        <v>384</v>
      </c>
      <c r="L21" s="22">
        <v>393597</v>
      </c>
      <c r="M21" s="22">
        <v>393597</v>
      </c>
      <c r="N21" s="2" t="s">
        <v>11</v>
      </c>
      <c r="O21" s="7">
        <v>0</v>
      </c>
      <c r="P21" s="7"/>
      <c r="Q21" s="7"/>
      <c r="R21" s="7"/>
      <c r="S21" s="7">
        <v>393597</v>
      </c>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8">
        <v>45824</v>
      </c>
      <c r="BQ21" s="2"/>
      <c r="BR21" s="2" t="s">
        <v>1799</v>
      </c>
      <c r="BS21" s="1" t="s">
        <v>1695</v>
      </c>
      <c r="BT21" s="14">
        <f t="shared" si="0"/>
        <v>393597</v>
      </c>
      <c r="BU21" s="2" t="str">
        <f t="shared" si="1"/>
        <v>OK</v>
      </c>
      <c r="BV21" s="13">
        <f t="shared" si="2"/>
        <v>0</v>
      </c>
    </row>
    <row r="22" spans="1:74" s="9" customFormat="1" ht="56.25" hidden="1" x14ac:dyDescent="0.25">
      <c r="A22" s="2" t="s">
        <v>1494</v>
      </c>
      <c r="B22" s="2" t="s">
        <v>687</v>
      </c>
      <c r="C22" s="2" t="s">
        <v>681</v>
      </c>
      <c r="D22" s="12" t="s">
        <v>688</v>
      </c>
      <c r="E22" s="2"/>
      <c r="F22" s="2" t="s">
        <v>72</v>
      </c>
      <c r="G22" s="2" t="s">
        <v>1667</v>
      </c>
      <c r="H22" s="2" t="s">
        <v>66</v>
      </c>
      <c r="I22" s="2" t="s">
        <v>5</v>
      </c>
      <c r="J22" s="2">
        <v>33</v>
      </c>
      <c r="K22" s="2" t="s">
        <v>384</v>
      </c>
      <c r="L22" s="22">
        <v>181921.41</v>
      </c>
      <c r="M22" s="22">
        <v>181921.41</v>
      </c>
      <c r="N22" s="2" t="s">
        <v>11</v>
      </c>
      <c r="O22" s="7">
        <v>0</v>
      </c>
      <c r="P22" s="7"/>
      <c r="Q22" s="7"/>
      <c r="R22" s="7"/>
      <c r="S22" s="7">
        <v>181921.41</v>
      </c>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8">
        <v>45859</v>
      </c>
      <c r="BQ22" s="2"/>
      <c r="BR22" s="2" t="s">
        <v>1800</v>
      </c>
      <c r="BS22" s="1" t="s">
        <v>1695</v>
      </c>
      <c r="BT22" s="14">
        <f t="shared" si="0"/>
        <v>181921.41</v>
      </c>
      <c r="BU22" s="2" t="str">
        <f t="shared" si="1"/>
        <v>OK</v>
      </c>
      <c r="BV22" s="13">
        <f t="shared" si="2"/>
        <v>0</v>
      </c>
    </row>
    <row r="23" spans="1:74" s="9" customFormat="1" ht="147" hidden="1" customHeight="1" x14ac:dyDescent="0.25">
      <c r="A23" s="2" t="s">
        <v>1332</v>
      </c>
      <c r="B23" s="2" t="s">
        <v>551</v>
      </c>
      <c r="C23" s="2" t="s">
        <v>552</v>
      </c>
      <c r="D23" s="12" t="s">
        <v>553</v>
      </c>
      <c r="E23" s="2"/>
      <c r="F23" s="2" t="s">
        <v>72</v>
      </c>
      <c r="G23" s="2" t="s">
        <v>1667</v>
      </c>
      <c r="H23" s="2" t="s">
        <v>66</v>
      </c>
      <c r="I23" s="2" t="s">
        <v>5</v>
      </c>
      <c r="J23" s="2" t="s">
        <v>1618</v>
      </c>
      <c r="K23" s="2" t="s">
        <v>384</v>
      </c>
      <c r="L23" s="22">
        <v>40000000</v>
      </c>
      <c r="M23" s="22">
        <v>15000000</v>
      </c>
      <c r="N23" s="2" t="s">
        <v>555</v>
      </c>
      <c r="O23" s="7"/>
      <c r="P23" s="7"/>
      <c r="Q23" s="7"/>
      <c r="R23" s="7"/>
      <c r="S23" s="7">
        <v>450000</v>
      </c>
      <c r="T23" s="7"/>
      <c r="U23" s="7"/>
      <c r="V23" s="7"/>
      <c r="W23" s="7"/>
      <c r="X23" s="7"/>
      <c r="Y23" s="7"/>
      <c r="Z23" s="7"/>
      <c r="AA23" s="7"/>
      <c r="AB23" s="7"/>
      <c r="AC23" s="7"/>
      <c r="AD23" s="7"/>
      <c r="AE23" s="7"/>
      <c r="AF23" s="7"/>
      <c r="AG23" s="7"/>
      <c r="AH23" s="7"/>
      <c r="AI23" s="7">
        <v>6300000</v>
      </c>
      <c r="AJ23" s="7">
        <v>8250000</v>
      </c>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8">
        <v>45931</v>
      </c>
      <c r="BQ23" s="2"/>
      <c r="BR23" s="2" t="s">
        <v>1801</v>
      </c>
      <c r="BS23" s="1" t="s">
        <v>1695</v>
      </c>
      <c r="BT23" s="14">
        <f t="shared" si="0"/>
        <v>15000000</v>
      </c>
      <c r="BU23" s="2" t="str">
        <f t="shared" si="1"/>
        <v>OK</v>
      </c>
      <c r="BV23" s="13">
        <f t="shared" si="2"/>
        <v>0</v>
      </c>
    </row>
    <row r="24" spans="1:74" s="9" customFormat="1" ht="56.25" hidden="1" x14ac:dyDescent="0.25">
      <c r="A24" s="2" t="s">
        <v>1453</v>
      </c>
      <c r="B24" s="2" t="s">
        <v>766</v>
      </c>
      <c r="C24" s="2" t="s">
        <v>681</v>
      </c>
      <c r="D24" s="12" t="s">
        <v>1148</v>
      </c>
      <c r="E24" s="2"/>
      <c r="F24" s="2" t="s">
        <v>72</v>
      </c>
      <c r="G24" s="2" t="s">
        <v>1667</v>
      </c>
      <c r="H24" s="2" t="s">
        <v>66</v>
      </c>
      <c r="I24" s="2" t="s">
        <v>5</v>
      </c>
      <c r="J24" s="15">
        <v>1</v>
      </c>
      <c r="K24" s="7" t="s">
        <v>384</v>
      </c>
      <c r="L24" s="22">
        <v>19975.8</v>
      </c>
      <c r="M24" s="22">
        <v>19975.8</v>
      </c>
      <c r="N24" s="7" t="s">
        <v>11</v>
      </c>
      <c r="O24" s="7"/>
      <c r="P24" s="7"/>
      <c r="Q24" s="7"/>
      <c r="R24" s="7"/>
      <c r="S24" s="7">
        <f>19975.8</f>
        <v>19975.8</v>
      </c>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8"/>
      <c r="BK24" s="2"/>
      <c r="BL24" s="14"/>
      <c r="BM24" s="2"/>
      <c r="BN24" s="13"/>
      <c r="BO24" s="7"/>
      <c r="BP24" s="8">
        <v>45936</v>
      </c>
      <c r="BQ24" s="2"/>
      <c r="BR24" s="2" t="s">
        <v>1801</v>
      </c>
      <c r="BS24" s="1" t="s">
        <v>1695</v>
      </c>
      <c r="BT24" s="14">
        <f t="shared" si="0"/>
        <v>19975.8</v>
      </c>
      <c r="BU24" s="2" t="str">
        <f t="shared" si="1"/>
        <v>OK</v>
      </c>
      <c r="BV24" s="13">
        <f t="shared" si="2"/>
        <v>0</v>
      </c>
    </row>
    <row r="25" spans="1:74" s="9" customFormat="1" ht="56.25" hidden="1" x14ac:dyDescent="0.25">
      <c r="A25" s="2" t="s">
        <v>1477</v>
      </c>
      <c r="B25" s="2" t="s">
        <v>696</v>
      </c>
      <c r="C25" s="2" t="s">
        <v>681</v>
      </c>
      <c r="D25" s="12" t="s">
        <v>697</v>
      </c>
      <c r="E25" s="2"/>
      <c r="F25" s="2" t="s">
        <v>72</v>
      </c>
      <c r="G25" s="2" t="s">
        <v>1667</v>
      </c>
      <c r="H25" s="2" t="s">
        <v>66</v>
      </c>
      <c r="I25" s="2" t="s">
        <v>1618</v>
      </c>
      <c r="J25" s="2" t="s">
        <v>1618</v>
      </c>
      <c r="K25" s="2" t="s">
        <v>384</v>
      </c>
      <c r="L25" s="22">
        <v>148035.5</v>
      </c>
      <c r="M25" s="22">
        <v>148035.5</v>
      </c>
      <c r="N25" s="2" t="s">
        <v>11</v>
      </c>
      <c r="O25" s="7"/>
      <c r="P25" s="7"/>
      <c r="Q25" s="7"/>
      <c r="R25" s="7"/>
      <c r="S25" s="7">
        <f>M25</f>
        <v>148035.5</v>
      </c>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8">
        <v>45950</v>
      </c>
      <c r="BQ25" s="2"/>
      <c r="BR25" s="2" t="s">
        <v>1799</v>
      </c>
      <c r="BS25" s="1" t="s">
        <v>1695</v>
      </c>
      <c r="BT25" s="14">
        <f t="shared" si="0"/>
        <v>148035.5</v>
      </c>
      <c r="BU25" s="2" t="str">
        <f t="shared" si="1"/>
        <v>OK</v>
      </c>
      <c r="BV25" s="13">
        <f t="shared" si="2"/>
        <v>0</v>
      </c>
    </row>
    <row r="26" spans="1:74" s="9" customFormat="1" ht="56.25" hidden="1" x14ac:dyDescent="0.25">
      <c r="A26" s="2" t="s">
        <v>1432</v>
      </c>
      <c r="B26" s="2" t="s">
        <v>1010</v>
      </c>
      <c r="C26" s="2" t="s">
        <v>681</v>
      </c>
      <c r="D26" s="12" t="s">
        <v>1011</v>
      </c>
      <c r="E26" s="2"/>
      <c r="F26" s="2" t="s">
        <v>72</v>
      </c>
      <c r="G26" s="2" t="s">
        <v>1667</v>
      </c>
      <c r="H26" s="2" t="s">
        <v>66</v>
      </c>
      <c r="I26" s="2" t="s">
        <v>5</v>
      </c>
      <c r="J26" s="2">
        <v>1</v>
      </c>
      <c r="K26" s="2" t="s">
        <v>384</v>
      </c>
      <c r="L26" s="22">
        <v>461994.04</v>
      </c>
      <c r="M26" s="22">
        <v>461994.04</v>
      </c>
      <c r="N26" s="2" t="s">
        <v>11</v>
      </c>
      <c r="O26" s="7">
        <v>0</v>
      </c>
      <c r="P26" s="7"/>
      <c r="Q26" s="7"/>
      <c r="R26" s="7"/>
      <c r="S26" s="7">
        <v>461994.04</v>
      </c>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8">
        <v>45964</v>
      </c>
      <c r="BQ26" s="2"/>
      <c r="BR26" s="2" t="s">
        <v>1799</v>
      </c>
      <c r="BS26" s="1" t="s">
        <v>1695</v>
      </c>
      <c r="BT26" s="14">
        <f t="shared" si="0"/>
        <v>461994.04</v>
      </c>
      <c r="BU26" s="2" t="str">
        <f t="shared" si="1"/>
        <v>OK</v>
      </c>
      <c r="BV26" s="13">
        <f t="shared" si="2"/>
        <v>0</v>
      </c>
    </row>
    <row r="27" spans="1:74" s="9" customFormat="1" ht="56.25" hidden="1" x14ac:dyDescent="0.25">
      <c r="A27" s="2" t="s">
        <v>1392</v>
      </c>
      <c r="B27" s="2" t="s">
        <v>736</v>
      </c>
      <c r="C27" s="2" t="s">
        <v>681</v>
      </c>
      <c r="D27" s="12" t="s">
        <v>737</v>
      </c>
      <c r="E27" s="2"/>
      <c r="F27" s="2" t="s">
        <v>72</v>
      </c>
      <c r="G27" s="2" t="s">
        <v>1667</v>
      </c>
      <c r="H27" s="2" t="s">
        <v>66</v>
      </c>
      <c r="I27" s="2" t="s">
        <v>5</v>
      </c>
      <c r="J27" s="2" t="s">
        <v>1618</v>
      </c>
      <c r="K27" s="2" t="s">
        <v>384</v>
      </c>
      <c r="L27" s="22">
        <v>2660000</v>
      </c>
      <c r="M27" s="22">
        <v>2660000</v>
      </c>
      <c r="N27" s="2" t="s">
        <v>11</v>
      </c>
      <c r="O27" s="7">
        <v>0</v>
      </c>
      <c r="P27" s="7"/>
      <c r="Q27" s="7"/>
      <c r="R27" s="7"/>
      <c r="S27" s="7">
        <v>2660000</v>
      </c>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8">
        <v>45992</v>
      </c>
      <c r="BQ27" s="2"/>
      <c r="BR27" s="2" t="s">
        <v>1801</v>
      </c>
      <c r="BS27" s="1" t="s">
        <v>1695</v>
      </c>
      <c r="BT27" s="14">
        <f t="shared" si="0"/>
        <v>2660000</v>
      </c>
      <c r="BU27" s="2" t="str">
        <f t="shared" si="1"/>
        <v>OK</v>
      </c>
      <c r="BV27" s="13">
        <f t="shared" si="2"/>
        <v>0</v>
      </c>
    </row>
    <row r="28" spans="1:74" s="9" customFormat="1" ht="56.25" hidden="1" x14ac:dyDescent="0.25">
      <c r="A28" s="2" t="s">
        <v>1418</v>
      </c>
      <c r="B28" s="2" t="s">
        <v>740</v>
      </c>
      <c r="C28" s="2" t="s">
        <v>681</v>
      </c>
      <c r="D28" s="12" t="s">
        <v>741</v>
      </c>
      <c r="E28" s="2"/>
      <c r="F28" s="2" t="s">
        <v>72</v>
      </c>
      <c r="G28" s="2" t="s">
        <v>1667</v>
      </c>
      <c r="H28" s="2" t="s">
        <v>66</v>
      </c>
      <c r="I28" s="2" t="s">
        <v>5</v>
      </c>
      <c r="J28" s="2" t="s">
        <v>1618</v>
      </c>
      <c r="K28" s="2" t="s">
        <v>384</v>
      </c>
      <c r="L28" s="22">
        <v>921600</v>
      </c>
      <c r="M28" s="22">
        <v>921600</v>
      </c>
      <c r="N28" s="2" t="s">
        <v>11</v>
      </c>
      <c r="O28" s="7">
        <v>0</v>
      </c>
      <c r="P28" s="7"/>
      <c r="Q28" s="7"/>
      <c r="R28" s="7"/>
      <c r="S28" s="7">
        <v>921600</v>
      </c>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8">
        <v>45992</v>
      </c>
      <c r="BQ28" s="2"/>
      <c r="BR28" s="2" t="s">
        <v>1799</v>
      </c>
      <c r="BS28" s="1" t="s">
        <v>1698</v>
      </c>
      <c r="BT28" s="14">
        <f t="shared" si="0"/>
        <v>921600</v>
      </c>
      <c r="BU28" s="2" t="str">
        <f t="shared" si="1"/>
        <v>OK</v>
      </c>
      <c r="BV28" s="13">
        <f t="shared" si="2"/>
        <v>0</v>
      </c>
    </row>
    <row r="29" spans="1:74" s="9" customFormat="1" ht="90.75" hidden="1" customHeight="1" x14ac:dyDescent="0.25">
      <c r="A29" s="2" t="s">
        <v>1600</v>
      </c>
      <c r="B29" s="2" t="s">
        <v>1127</v>
      </c>
      <c r="C29" s="2" t="s">
        <v>342</v>
      </c>
      <c r="D29" s="12" t="s">
        <v>1821</v>
      </c>
      <c r="E29" s="2"/>
      <c r="F29" s="2" t="s">
        <v>1691</v>
      </c>
      <c r="G29" s="2" t="s">
        <v>1690</v>
      </c>
      <c r="H29" s="2" t="s">
        <v>66</v>
      </c>
      <c r="I29" s="2" t="s">
        <v>5</v>
      </c>
      <c r="J29" s="2" t="s">
        <v>1618</v>
      </c>
      <c r="K29" s="2" t="s">
        <v>384</v>
      </c>
      <c r="L29" s="7">
        <v>4376757.93</v>
      </c>
      <c r="M29" s="22">
        <v>2156709.12</v>
      </c>
      <c r="N29" s="2" t="s">
        <v>1125</v>
      </c>
      <c r="O29" s="7"/>
      <c r="P29" s="7"/>
      <c r="Q29" s="7"/>
      <c r="R29" s="7"/>
      <c r="S29" s="7"/>
      <c r="T29" s="7"/>
      <c r="U29" s="7"/>
      <c r="V29" s="7"/>
      <c r="W29" s="7"/>
      <c r="X29" s="7"/>
      <c r="Y29" s="7"/>
      <c r="Z29" s="7"/>
      <c r="AA29" s="7"/>
      <c r="AB29" s="7"/>
      <c r="AC29" s="7"/>
      <c r="AD29" s="7"/>
      <c r="AE29" s="7"/>
      <c r="AF29" s="7"/>
      <c r="AG29" s="7"/>
      <c r="AH29" s="7"/>
      <c r="AI29" s="7">
        <v>1000703.17</v>
      </c>
      <c r="AJ29" s="7">
        <v>1156005.95</v>
      </c>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8">
        <v>45691</v>
      </c>
      <c r="BQ29" s="2"/>
      <c r="BR29" s="2" t="s">
        <v>1801</v>
      </c>
      <c r="BS29" s="1" t="s">
        <v>1698</v>
      </c>
      <c r="BT29" s="14">
        <f t="shared" si="0"/>
        <v>2156709.12</v>
      </c>
      <c r="BU29" s="2" t="str">
        <f t="shared" si="1"/>
        <v>OK</v>
      </c>
      <c r="BV29" s="13">
        <f t="shared" si="2"/>
        <v>0</v>
      </c>
    </row>
    <row r="30" spans="1:74" s="9" customFormat="1" ht="96" hidden="1" customHeight="1" x14ac:dyDescent="0.25">
      <c r="A30" s="2" t="s">
        <v>1598</v>
      </c>
      <c r="B30" s="2" t="s">
        <v>1124</v>
      </c>
      <c r="C30" s="2" t="s">
        <v>342</v>
      </c>
      <c r="D30" s="12" t="s">
        <v>1822</v>
      </c>
      <c r="E30" s="2"/>
      <c r="F30" s="2" t="s">
        <v>1691</v>
      </c>
      <c r="G30" s="2" t="s">
        <v>1689</v>
      </c>
      <c r="H30" s="2" t="s">
        <v>66</v>
      </c>
      <c r="I30" s="2" t="s">
        <v>5</v>
      </c>
      <c r="J30" s="2" t="s">
        <v>1618</v>
      </c>
      <c r="K30" s="2" t="s">
        <v>384</v>
      </c>
      <c r="L30" s="7">
        <v>29418367.800000001</v>
      </c>
      <c r="M30" s="22">
        <v>15418367.800000001</v>
      </c>
      <c r="N30" s="2" t="s">
        <v>1125</v>
      </c>
      <c r="O30" s="7"/>
      <c r="P30" s="7"/>
      <c r="Q30" s="7"/>
      <c r="R30" s="7"/>
      <c r="S30" s="7"/>
      <c r="T30" s="7"/>
      <c r="U30" s="7"/>
      <c r="V30" s="7"/>
      <c r="W30" s="7"/>
      <c r="X30" s="7"/>
      <c r="Y30" s="7"/>
      <c r="Z30" s="7"/>
      <c r="AA30" s="7"/>
      <c r="AB30" s="7"/>
      <c r="AC30" s="7"/>
      <c r="AD30" s="7"/>
      <c r="AE30" s="7"/>
      <c r="AF30" s="7"/>
      <c r="AG30" s="7"/>
      <c r="AH30" s="7"/>
      <c r="AI30" s="7">
        <v>5767347.1200000001</v>
      </c>
      <c r="AJ30" s="7">
        <v>9651020.6799999997</v>
      </c>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8">
        <v>45691</v>
      </c>
      <c r="BQ30" s="2"/>
      <c r="BR30" s="2" t="s">
        <v>1801</v>
      </c>
      <c r="BS30" s="1" t="s">
        <v>1698</v>
      </c>
      <c r="BT30" s="14">
        <f t="shared" si="0"/>
        <v>15418367.800000001</v>
      </c>
      <c r="BU30" s="2" t="str">
        <f t="shared" si="1"/>
        <v>OK</v>
      </c>
      <c r="BV30" s="13">
        <f t="shared" si="2"/>
        <v>0</v>
      </c>
    </row>
    <row r="31" spans="1:74" s="9" customFormat="1" ht="97.5" hidden="1" customHeight="1" x14ac:dyDescent="0.25">
      <c r="A31" s="2" t="s">
        <v>1599</v>
      </c>
      <c r="B31" s="2" t="s">
        <v>1126</v>
      </c>
      <c r="C31" s="2" t="s">
        <v>342</v>
      </c>
      <c r="D31" s="12" t="s">
        <v>1822</v>
      </c>
      <c r="E31" s="2"/>
      <c r="F31" s="2" t="s">
        <v>1691</v>
      </c>
      <c r="G31" s="2" t="s">
        <v>1689</v>
      </c>
      <c r="H31" s="2" t="s">
        <v>66</v>
      </c>
      <c r="I31" s="2" t="s">
        <v>5</v>
      </c>
      <c r="J31" s="2" t="s">
        <v>1618</v>
      </c>
      <c r="K31" s="2" t="s">
        <v>384</v>
      </c>
      <c r="L31" s="7">
        <v>32316610.260000002</v>
      </c>
      <c r="M31" s="22">
        <v>18316610.260000002</v>
      </c>
      <c r="N31" s="2" t="s">
        <v>1125</v>
      </c>
      <c r="O31" s="7"/>
      <c r="P31" s="7"/>
      <c r="Q31" s="7"/>
      <c r="R31" s="7"/>
      <c r="S31" s="7"/>
      <c r="T31" s="7"/>
      <c r="U31" s="7"/>
      <c r="V31" s="7"/>
      <c r="W31" s="7"/>
      <c r="X31" s="7"/>
      <c r="Y31" s="7"/>
      <c r="Z31" s="7"/>
      <c r="AA31" s="7"/>
      <c r="AB31" s="7"/>
      <c r="AC31" s="7"/>
      <c r="AD31" s="7"/>
      <c r="AE31" s="7"/>
      <c r="AF31" s="7"/>
      <c r="AG31" s="7"/>
      <c r="AH31" s="7"/>
      <c r="AI31" s="7">
        <v>6926644.0999999996</v>
      </c>
      <c r="AJ31" s="7">
        <v>11389966.16</v>
      </c>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8">
        <v>45691</v>
      </c>
      <c r="BQ31" s="2"/>
      <c r="BR31" s="2" t="s">
        <v>1799</v>
      </c>
      <c r="BS31" s="1" t="s">
        <v>1697</v>
      </c>
      <c r="BT31" s="14">
        <f t="shared" si="0"/>
        <v>18316610.259999998</v>
      </c>
      <c r="BU31" s="2" t="str">
        <f t="shared" si="1"/>
        <v>OK</v>
      </c>
      <c r="BV31" s="13">
        <f t="shared" si="2"/>
        <v>0</v>
      </c>
    </row>
    <row r="32" spans="1:74" s="9" customFormat="1" ht="67.5" hidden="1" x14ac:dyDescent="0.25">
      <c r="A32" s="2" t="s">
        <v>1575</v>
      </c>
      <c r="B32" s="2" t="s">
        <v>1065</v>
      </c>
      <c r="C32" s="2" t="s">
        <v>1051</v>
      </c>
      <c r="D32" s="12" t="s">
        <v>1066</v>
      </c>
      <c r="E32" s="2"/>
      <c r="F32" s="2" t="s">
        <v>72</v>
      </c>
      <c r="G32" s="2" t="s">
        <v>1686</v>
      </c>
      <c r="H32" s="2" t="s">
        <v>66</v>
      </c>
      <c r="I32" s="2" t="s">
        <v>5</v>
      </c>
      <c r="J32" s="2" t="s">
        <v>1618</v>
      </c>
      <c r="K32" s="2" t="s">
        <v>384</v>
      </c>
      <c r="L32" s="22">
        <v>55000</v>
      </c>
      <c r="M32" s="22">
        <v>55000</v>
      </c>
      <c r="N32" s="2" t="s">
        <v>33</v>
      </c>
      <c r="O32" s="7">
        <v>0</v>
      </c>
      <c r="P32" s="7"/>
      <c r="Q32" s="7"/>
      <c r="R32" s="7"/>
      <c r="S32" s="7"/>
      <c r="T32" s="7"/>
      <c r="U32" s="7"/>
      <c r="V32" s="7"/>
      <c r="W32" s="7"/>
      <c r="X32" s="7"/>
      <c r="Y32" s="7"/>
      <c r="Z32" s="7"/>
      <c r="AA32" s="7"/>
      <c r="AB32" s="7"/>
      <c r="AC32" s="7"/>
      <c r="AD32" s="7"/>
      <c r="AE32" s="7"/>
      <c r="AF32" s="7"/>
      <c r="AG32" s="7"/>
      <c r="AH32" s="7"/>
      <c r="AI32" s="7"/>
      <c r="AJ32" s="7"/>
      <c r="AK32" s="7"/>
      <c r="AL32" s="7"/>
      <c r="AM32" s="7"/>
      <c r="AN32" s="7"/>
      <c r="AO32" s="7">
        <v>50000</v>
      </c>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8">
        <v>45818</v>
      </c>
      <c r="BQ32" s="2"/>
      <c r="BR32" s="2" t="s">
        <v>1800</v>
      </c>
      <c r="BS32" s="1" t="s">
        <v>1697</v>
      </c>
      <c r="BT32" s="14">
        <f t="shared" si="0"/>
        <v>50000</v>
      </c>
      <c r="BU32" s="2" t="str">
        <f t="shared" si="1"/>
        <v>CORRIGIR</v>
      </c>
      <c r="BV32" s="13">
        <f t="shared" si="2"/>
        <v>5000</v>
      </c>
    </row>
    <row r="33" spans="1:74" s="9" customFormat="1" ht="56.25" hidden="1" x14ac:dyDescent="0.25">
      <c r="A33" s="2" t="s">
        <v>1571</v>
      </c>
      <c r="B33" s="2" t="s">
        <v>1071</v>
      </c>
      <c r="C33" s="2" t="s">
        <v>1051</v>
      </c>
      <c r="D33" s="12" t="s">
        <v>1072</v>
      </c>
      <c r="E33" s="2"/>
      <c r="F33" s="2" t="s">
        <v>1691</v>
      </c>
      <c r="G33" s="2" t="s">
        <v>1686</v>
      </c>
      <c r="H33" s="2" t="s">
        <v>66</v>
      </c>
      <c r="I33" s="2" t="s">
        <v>5</v>
      </c>
      <c r="J33" s="23">
        <v>20000</v>
      </c>
      <c r="K33" s="2" t="s">
        <v>384</v>
      </c>
      <c r="L33" s="22">
        <v>50000000</v>
      </c>
      <c r="M33" s="22">
        <v>27000000</v>
      </c>
      <c r="N33" s="2" t="s">
        <v>33</v>
      </c>
      <c r="O33" s="7">
        <v>0</v>
      </c>
      <c r="P33" s="7"/>
      <c r="Q33" s="7"/>
      <c r="R33" s="7"/>
      <c r="S33" s="7"/>
      <c r="T33" s="7"/>
      <c r="U33" s="7"/>
      <c r="V33" s="7"/>
      <c r="W33" s="7"/>
      <c r="X33" s="7"/>
      <c r="Y33" s="7"/>
      <c r="Z33" s="7"/>
      <c r="AA33" s="7"/>
      <c r="AB33" s="7"/>
      <c r="AC33" s="7"/>
      <c r="AD33" s="7"/>
      <c r="AE33" s="7"/>
      <c r="AF33" s="7"/>
      <c r="AG33" s="7"/>
      <c r="AH33" s="7"/>
      <c r="AI33" s="7"/>
      <c r="AJ33" s="7"/>
      <c r="AK33" s="7"/>
      <c r="AL33" s="7"/>
      <c r="AM33" s="7"/>
      <c r="AN33" s="7"/>
      <c r="AO33" s="30">
        <v>27000000</v>
      </c>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8">
        <v>45853</v>
      </c>
      <c r="BQ33" s="2"/>
      <c r="BR33" s="2" t="s">
        <v>1799</v>
      </c>
      <c r="BS33" s="1" t="s">
        <v>1698</v>
      </c>
      <c r="BT33" s="14">
        <f t="shared" si="0"/>
        <v>27000000</v>
      </c>
      <c r="BU33" s="2" t="str">
        <f t="shared" si="1"/>
        <v>OK</v>
      </c>
      <c r="BV33" s="13">
        <f t="shared" si="2"/>
        <v>0</v>
      </c>
    </row>
    <row r="34" spans="1:74" s="9" customFormat="1" ht="56.25" hidden="1" x14ac:dyDescent="0.25">
      <c r="A34" s="2" t="s">
        <v>1573</v>
      </c>
      <c r="B34" s="2" t="s">
        <v>1073</v>
      </c>
      <c r="C34" s="2" t="s">
        <v>1051</v>
      </c>
      <c r="D34" s="12" t="s">
        <v>1074</v>
      </c>
      <c r="E34" s="2"/>
      <c r="F34" s="2" t="s">
        <v>1691</v>
      </c>
      <c r="G34" s="2" t="s">
        <v>1686</v>
      </c>
      <c r="H34" s="2" t="s">
        <v>66</v>
      </c>
      <c r="I34" s="2" t="s">
        <v>5</v>
      </c>
      <c r="J34" s="23">
        <v>5000</v>
      </c>
      <c r="K34" s="2" t="s">
        <v>384</v>
      </c>
      <c r="L34" s="22">
        <v>35000000</v>
      </c>
      <c r="M34" s="22">
        <v>22498000</v>
      </c>
      <c r="N34" s="2" t="s">
        <v>33</v>
      </c>
      <c r="O34" s="7">
        <v>0</v>
      </c>
      <c r="P34" s="7"/>
      <c r="Q34" s="7"/>
      <c r="R34" s="7"/>
      <c r="S34" s="7"/>
      <c r="T34" s="7"/>
      <c r="U34" s="7"/>
      <c r="V34" s="7"/>
      <c r="W34" s="7"/>
      <c r="X34" s="7"/>
      <c r="Y34" s="7"/>
      <c r="Z34" s="7"/>
      <c r="AA34" s="7"/>
      <c r="AB34" s="7"/>
      <c r="AC34" s="7"/>
      <c r="AD34" s="7"/>
      <c r="AE34" s="7"/>
      <c r="AF34" s="7"/>
      <c r="AG34" s="7"/>
      <c r="AH34" s="7"/>
      <c r="AI34" s="7"/>
      <c r="AJ34" s="7"/>
      <c r="AK34" s="7"/>
      <c r="AL34" s="7"/>
      <c r="AM34" s="7"/>
      <c r="AN34" s="7"/>
      <c r="AO34" s="7">
        <v>22498000</v>
      </c>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8">
        <v>45853</v>
      </c>
      <c r="BQ34" s="2"/>
      <c r="BR34" s="2" t="s">
        <v>1799</v>
      </c>
      <c r="BS34" s="1" t="s">
        <v>1697</v>
      </c>
      <c r="BT34" s="14">
        <f t="shared" si="0"/>
        <v>22498000</v>
      </c>
      <c r="BU34" s="2" t="str">
        <f t="shared" si="1"/>
        <v>OK</v>
      </c>
      <c r="BV34" s="13">
        <f t="shared" si="2"/>
        <v>0</v>
      </c>
    </row>
    <row r="35" spans="1:74" s="9" customFormat="1" ht="56.25" hidden="1" x14ac:dyDescent="0.25">
      <c r="A35" s="2" t="s">
        <v>1574</v>
      </c>
      <c r="B35" s="2" t="s">
        <v>1069</v>
      </c>
      <c r="C35" s="2" t="s">
        <v>1051</v>
      </c>
      <c r="D35" s="12" t="s">
        <v>1070</v>
      </c>
      <c r="E35" s="2"/>
      <c r="F35" s="2" t="s">
        <v>1691</v>
      </c>
      <c r="G35" s="2" t="s">
        <v>1686</v>
      </c>
      <c r="H35" s="2" t="s">
        <v>66</v>
      </c>
      <c r="I35" s="2" t="s">
        <v>5</v>
      </c>
      <c r="J35" s="23">
        <v>1000</v>
      </c>
      <c r="K35" s="2" t="s">
        <v>384</v>
      </c>
      <c r="L35" s="22">
        <v>5000000</v>
      </c>
      <c r="M35" s="22">
        <v>2500000</v>
      </c>
      <c r="N35" s="2" t="s">
        <v>33</v>
      </c>
      <c r="O35" s="7">
        <v>0</v>
      </c>
      <c r="P35" s="7"/>
      <c r="Q35" s="7"/>
      <c r="R35" s="7"/>
      <c r="S35" s="7"/>
      <c r="T35" s="7"/>
      <c r="U35" s="7"/>
      <c r="V35" s="7"/>
      <c r="W35" s="7"/>
      <c r="X35" s="7"/>
      <c r="Y35" s="7"/>
      <c r="Z35" s="7"/>
      <c r="AA35" s="7"/>
      <c r="AB35" s="7"/>
      <c r="AC35" s="7"/>
      <c r="AD35" s="7"/>
      <c r="AE35" s="7"/>
      <c r="AF35" s="7"/>
      <c r="AG35" s="7"/>
      <c r="AH35" s="7"/>
      <c r="AI35" s="7"/>
      <c r="AJ35" s="7"/>
      <c r="AK35" s="7"/>
      <c r="AL35" s="7"/>
      <c r="AM35" s="7"/>
      <c r="AN35" s="7"/>
      <c r="AO35" s="7">
        <v>5000000</v>
      </c>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8">
        <v>45853</v>
      </c>
      <c r="BQ35" s="2"/>
      <c r="BR35" s="2" t="s">
        <v>1801</v>
      </c>
      <c r="BS35" s="1" t="s">
        <v>1697</v>
      </c>
      <c r="BT35" s="14">
        <f t="shared" si="0"/>
        <v>5000000</v>
      </c>
      <c r="BU35" s="2" t="str">
        <f t="shared" si="1"/>
        <v>CORRIGIR</v>
      </c>
      <c r="BV35" s="13">
        <f t="shared" si="2"/>
        <v>-2500000</v>
      </c>
    </row>
    <row r="36" spans="1:74" s="9" customFormat="1" ht="67.5" hidden="1" x14ac:dyDescent="0.25">
      <c r="A36" s="2" t="s">
        <v>1464</v>
      </c>
      <c r="B36" s="2" t="s">
        <v>825</v>
      </c>
      <c r="C36" s="2" t="s">
        <v>676</v>
      </c>
      <c r="D36" s="12" t="s">
        <v>826</v>
      </c>
      <c r="E36" s="2"/>
      <c r="F36" s="2" t="s">
        <v>65</v>
      </c>
      <c r="G36" s="2" t="s">
        <v>1638</v>
      </c>
      <c r="H36" s="2" t="s">
        <v>66</v>
      </c>
      <c r="I36" s="2" t="s">
        <v>5</v>
      </c>
      <c r="J36" s="2">
        <v>5</v>
      </c>
      <c r="K36" s="2" t="s">
        <v>67</v>
      </c>
      <c r="L36" s="22">
        <v>18735</v>
      </c>
      <c r="M36" s="22">
        <v>18735</v>
      </c>
      <c r="N36" s="2" t="s">
        <v>16</v>
      </c>
      <c r="O36" s="7"/>
      <c r="P36" s="7"/>
      <c r="Q36" s="7"/>
      <c r="R36" s="7"/>
      <c r="S36" s="7"/>
      <c r="T36" s="7"/>
      <c r="U36" s="7"/>
      <c r="V36" s="7"/>
      <c r="W36" s="7"/>
      <c r="X36" s="7">
        <v>18735</v>
      </c>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8">
        <v>45519</v>
      </c>
      <c r="BQ36" s="2"/>
      <c r="BR36" s="2" t="s">
        <v>1800</v>
      </c>
      <c r="BS36" s="1" t="s">
        <v>1697</v>
      </c>
      <c r="BT36" s="14">
        <f t="shared" si="0"/>
        <v>18735</v>
      </c>
      <c r="BU36" s="2" t="str">
        <f t="shared" si="1"/>
        <v>OK</v>
      </c>
      <c r="BV36" s="13">
        <f t="shared" si="2"/>
        <v>0</v>
      </c>
    </row>
    <row r="37" spans="1:74" s="9" customFormat="1" ht="78.75" hidden="1" x14ac:dyDescent="0.25">
      <c r="A37" s="2" t="s">
        <v>1549</v>
      </c>
      <c r="B37" s="2" t="s">
        <v>1015</v>
      </c>
      <c r="C37" s="2" t="s">
        <v>331</v>
      </c>
      <c r="D37" s="12" t="s">
        <v>1016</v>
      </c>
      <c r="E37" s="2"/>
      <c r="F37" s="2" t="s">
        <v>72</v>
      </c>
      <c r="G37" s="2" t="s">
        <v>1638</v>
      </c>
      <c r="H37" s="2" t="s">
        <v>66</v>
      </c>
      <c r="I37" s="2" t="s">
        <v>5</v>
      </c>
      <c r="J37" s="2">
        <v>550</v>
      </c>
      <c r="K37" s="2" t="s">
        <v>67</v>
      </c>
      <c r="L37" s="22">
        <v>1774182.3999999999</v>
      </c>
      <c r="M37" s="22">
        <v>1774182.3999999999</v>
      </c>
      <c r="N37" s="2" t="s">
        <v>1017</v>
      </c>
      <c r="O37" s="7"/>
      <c r="P37" s="7"/>
      <c r="Q37" s="7"/>
      <c r="R37" s="7"/>
      <c r="S37" s="7"/>
      <c r="T37" s="7"/>
      <c r="U37" s="7"/>
      <c r="V37" s="7"/>
      <c r="W37" s="7"/>
      <c r="X37" s="7"/>
      <c r="Y37" s="7"/>
      <c r="Z37" s="7"/>
      <c r="AA37" s="7"/>
      <c r="AB37" s="7"/>
      <c r="AC37" s="7"/>
      <c r="AD37" s="7"/>
      <c r="AE37" s="7"/>
      <c r="AF37" s="7"/>
      <c r="AG37" s="7"/>
      <c r="AH37" s="7"/>
      <c r="AI37" s="7"/>
      <c r="AJ37" s="7"/>
      <c r="AK37" s="7"/>
      <c r="AL37" s="7">
        <v>745156</v>
      </c>
      <c r="AM37" s="7">
        <v>1029026.4</v>
      </c>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8">
        <v>45717</v>
      </c>
      <c r="BQ37" s="2"/>
      <c r="BR37" s="2" t="s">
        <v>1799</v>
      </c>
      <c r="BS37" s="1" t="s">
        <v>1698</v>
      </c>
      <c r="BT37" s="14">
        <f t="shared" si="0"/>
        <v>1774182.3999999999</v>
      </c>
      <c r="BU37" s="2" t="str">
        <f t="shared" si="1"/>
        <v>OK</v>
      </c>
      <c r="BV37" s="13">
        <f t="shared" si="2"/>
        <v>0</v>
      </c>
    </row>
    <row r="38" spans="1:74" s="9" customFormat="1" ht="90" hidden="1" x14ac:dyDescent="0.25">
      <c r="A38" s="2" t="s">
        <v>1558</v>
      </c>
      <c r="B38" s="2" t="s">
        <v>1035</v>
      </c>
      <c r="C38" s="2" t="s">
        <v>331</v>
      </c>
      <c r="D38" s="12" t="s">
        <v>1036</v>
      </c>
      <c r="E38" s="2"/>
      <c r="F38" s="2" t="s">
        <v>72</v>
      </c>
      <c r="G38" s="2" t="s">
        <v>1638</v>
      </c>
      <c r="H38" s="2" t="s">
        <v>66</v>
      </c>
      <c r="I38" s="2" t="s">
        <v>5</v>
      </c>
      <c r="J38" s="2">
        <v>550</v>
      </c>
      <c r="K38" s="2" t="s">
        <v>67</v>
      </c>
      <c r="L38" s="22">
        <v>1250000</v>
      </c>
      <c r="M38" s="22">
        <v>1250000</v>
      </c>
      <c r="N38" s="2" t="s">
        <v>1017</v>
      </c>
      <c r="O38" s="7"/>
      <c r="P38" s="7"/>
      <c r="Q38" s="7"/>
      <c r="R38" s="7"/>
      <c r="S38" s="7"/>
      <c r="T38" s="7"/>
      <c r="U38" s="7"/>
      <c r="V38" s="7"/>
      <c r="W38" s="7"/>
      <c r="X38" s="7"/>
      <c r="Y38" s="7"/>
      <c r="Z38" s="7"/>
      <c r="AA38" s="7"/>
      <c r="AB38" s="7"/>
      <c r="AC38" s="7"/>
      <c r="AD38" s="7"/>
      <c r="AE38" s="7"/>
      <c r="AF38" s="7"/>
      <c r="AG38" s="7"/>
      <c r="AH38" s="7"/>
      <c r="AI38" s="7"/>
      <c r="AJ38" s="7"/>
      <c r="AK38" s="7"/>
      <c r="AL38" s="7">
        <v>525000</v>
      </c>
      <c r="AM38" s="7">
        <v>725000</v>
      </c>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8">
        <v>45717</v>
      </c>
      <c r="BQ38" s="2"/>
      <c r="BR38" s="2" t="s">
        <v>1801</v>
      </c>
      <c r="BS38" s="1" t="s">
        <v>1697</v>
      </c>
      <c r="BT38" s="14">
        <f t="shared" si="0"/>
        <v>1250000</v>
      </c>
      <c r="BU38" s="2" t="str">
        <f t="shared" si="1"/>
        <v>OK</v>
      </c>
      <c r="BV38" s="13">
        <f t="shared" si="2"/>
        <v>0</v>
      </c>
    </row>
    <row r="39" spans="1:74" s="9" customFormat="1" ht="101.25" hidden="1" x14ac:dyDescent="0.25">
      <c r="A39" s="2" t="s">
        <v>1557</v>
      </c>
      <c r="B39" s="2" t="s">
        <v>1033</v>
      </c>
      <c r="C39" s="2" t="s">
        <v>74</v>
      </c>
      <c r="D39" s="12" t="s">
        <v>1034</v>
      </c>
      <c r="E39" s="2"/>
      <c r="F39" s="2" t="s">
        <v>72</v>
      </c>
      <c r="G39" s="2" t="s">
        <v>1638</v>
      </c>
      <c r="H39" s="2" t="s">
        <v>66</v>
      </c>
      <c r="I39" s="2" t="s">
        <v>5</v>
      </c>
      <c r="J39" s="2">
        <v>1</v>
      </c>
      <c r="K39" s="2" t="s">
        <v>67</v>
      </c>
      <c r="L39" s="22">
        <v>200000</v>
      </c>
      <c r="M39" s="22">
        <v>200000</v>
      </c>
      <c r="N39" s="2" t="s">
        <v>16</v>
      </c>
      <c r="O39" s="7"/>
      <c r="P39" s="7"/>
      <c r="Q39" s="7"/>
      <c r="R39" s="7"/>
      <c r="S39" s="7"/>
      <c r="T39" s="7"/>
      <c r="U39" s="7"/>
      <c r="V39" s="7"/>
      <c r="W39" s="7"/>
      <c r="X39" s="7">
        <v>200000</v>
      </c>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8">
        <v>45736</v>
      </c>
      <c r="BQ39" s="2"/>
      <c r="BR39" s="2" t="s">
        <v>1801</v>
      </c>
      <c r="BS39" s="1" t="s">
        <v>1698</v>
      </c>
      <c r="BT39" s="14">
        <f t="shared" si="0"/>
        <v>200000</v>
      </c>
      <c r="BU39" s="2" t="str">
        <f t="shared" si="1"/>
        <v>OK</v>
      </c>
      <c r="BV39" s="13">
        <f t="shared" si="2"/>
        <v>0</v>
      </c>
    </row>
    <row r="40" spans="1:74" s="9" customFormat="1" ht="101.25" hidden="1" x14ac:dyDescent="0.25">
      <c r="A40" s="2" t="s">
        <v>1559</v>
      </c>
      <c r="B40" s="2" t="s">
        <v>1037</v>
      </c>
      <c r="C40" s="2" t="s">
        <v>74</v>
      </c>
      <c r="D40" s="12" t="s">
        <v>1038</v>
      </c>
      <c r="E40" s="2"/>
      <c r="F40" s="2" t="s">
        <v>72</v>
      </c>
      <c r="G40" s="2" t="s">
        <v>1638</v>
      </c>
      <c r="H40" s="2" t="s">
        <v>66</v>
      </c>
      <c r="I40" s="2" t="s">
        <v>5</v>
      </c>
      <c r="J40" s="2" t="s">
        <v>1618</v>
      </c>
      <c r="K40" s="2" t="s">
        <v>67</v>
      </c>
      <c r="L40" s="22">
        <v>200000</v>
      </c>
      <c r="M40" s="22">
        <v>200000</v>
      </c>
      <c r="N40" s="2" t="s">
        <v>1039</v>
      </c>
      <c r="O40" s="7"/>
      <c r="P40" s="7"/>
      <c r="Q40" s="7"/>
      <c r="R40" s="7"/>
      <c r="S40" s="7"/>
      <c r="T40" s="7"/>
      <c r="U40" s="7"/>
      <c r="V40" s="7"/>
      <c r="W40" s="7"/>
      <c r="X40" s="7"/>
      <c r="Y40" s="7"/>
      <c r="Z40" s="7"/>
      <c r="AA40" s="7"/>
      <c r="AB40" s="7"/>
      <c r="AC40" s="7"/>
      <c r="AD40" s="7"/>
      <c r="AE40" s="7"/>
      <c r="AF40" s="7"/>
      <c r="AG40" s="7"/>
      <c r="AH40" s="7"/>
      <c r="AI40" s="7"/>
      <c r="AJ40" s="7"/>
      <c r="AK40" s="7"/>
      <c r="AL40" s="7">
        <v>50000</v>
      </c>
      <c r="AM40" s="7">
        <v>50000</v>
      </c>
      <c r="AN40" s="7"/>
      <c r="AO40" s="7"/>
      <c r="AP40" s="7"/>
      <c r="AQ40" s="7"/>
      <c r="AR40" s="7"/>
      <c r="AS40" s="7"/>
      <c r="AT40" s="7"/>
      <c r="AU40" s="7">
        <v>100000</v>
      </c>
      <c r="AV40" s="7"/>
      <c r="AW40" s="7"/>
      <c r="AX40" s="7"/>
      <c r="AY40" s="7"/>
      <c r="AZ40" s="7"/>
      <c r="BA40" s="7"/>
      <c r="BB40" s="7"/>
      <c r="BC40" s="7"/>
      <c r="BD40" s="7"/>
      <c r="BE40" s="7"/>
      <c r="BF40" s="7"/>
      <c r="BG40" s="7"/>
      <c r="BH40" s="7"/>
      <c r="BI40" s="7"/>
      <c r="BJ40" s="7"/>
      <c r="BK40" s="7"/>
      <c r="BL40" s="7"/>
      <c r="BM40" s="7"/>
      <c r="BN40" s="7"/>
      <c r="BO40" s="7"/>
      <c r="BP40" s="8">
        <v>45736</v>
      </c>
      <c r="BQ40" s="2"/>
      <c r="BR40" s="2" t="s">
        <v>1801</v>
      </c>
      <c r="BS40" s="1" t="s">
        <v>1698</v>
      </c>
      <c r="BT40" s="14">
        <f t="shared" si="0"/>
        <v>200000</v>
      </c>
      <c r="BU40" s="2" t="str">
        <f t="shared" si="1"/>
        <v>OK</v>
      </c>
      <c r="BV40" s="13">
        <f t="shared" si="2"/>
        <v>0</v>
      </c>
    </row>
    <row r="41" spans="1:74" s="9" customFormat="1" ht="67.5" hidden="1" x14ac:dyDescent="0.25">
      <c r="A41" s="2" t="s">
        <v>1466</v>
      </c>
      <c r="B41" s="2" t="s">
        <v>829</v>
      </c>
      <c r="C41" s="2" t="s">
        <v>676</v>
      </c>
      <c r="D41" s="12" t="s">
        <v>830</v>
      </c>
      <c r="E41" s="2"/>
      <c r="F41" s="2" t="s">
        <v>65</v>
      </c>
      <c r="G41" s="2" t="s">
        <v>1638</v>
      </c>
      <c r="H41" s="2" t="s">
        <v>66</v>
      </c>
      <c r="I41" s="2" t="s">
        <v>5</v>
      </c>
      <c r="J41" s="2">
        <v>6</v>
      </c>
      <c r="K41" s="2" t="s">
        <v>67</v>
      </c>
      <c r="L41" s="22">
        <v>35340</v>
      </c>
      <c r="M41" s="22">
        <v>35340</v>
      </c>
      <c r="N41" s="2" t="s">
        <v>16</v>
      </c>
      <c r="O41" s="7"/>
      <c r="P41" s="7"/>
      <c r="Q41" s="7"/>
      <c r="R41" s="7"/>
      <c r="S41" s="7"/>
      <c r="T41" s="7"/>
      <c r="U41" s="7"/>
      <c r="V41" s="7"/>
      <c r="W41" s="7"/>
      <c r="X41" s="7">
        <v>35340</v>
      </c>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8">
        <v>45747</v>
      </c>
      <c r="BQ41" s="2"/>
      <c r="BR41" s="2" t="s">
        <v>1798</v>
      </c>
      <c r="BS41" s="1" t="s">
        <v>1697</v>
      </c>
      <c r="BT41" s="14">
        <f t="shared" si="0"/>
        <v>35340</v>
      </c>
      <c r="BU41" s="2" t="str">
        <f t="shared" si="1"/>
        <v>OK</v>
      </c>
      <c r="BV41" s="13">
        <f t="shared" si="2"/>
        <v>0</v>
      </c>
    </row>
    <row r="42" spans="1:74" s="9" customFormat="1" ht="101.25" hidden="1" x14ac:dyDescent="0.25">
      <c r="A42" s="2" t="s">
        <v>1560</v>
      </c>
      <c r="B42" s="2" t="s">
        <v>1040</v>
      </c>
      <c r="C42" s="2" t="s">
        <v>1041</v>
      </c>
      <c r="D42" s="12" t="s">
        <v>1042</v>
      </c>
      <c r="E42" s="2"/>
      <c r="F42" s="2" t="s">
        <v>72</v>
      </c>
      <c r="G42" s="2" t="s">
        <v>1638</v>
      </c>
      <c r="H42" s="2" t="s">
        <v>66</v>
      </c>
      <c r="I42" s="2" t="s">
        <v>5</v>
      </c>
      <c r="J42" s="2">
        <v>250</v>
      </c>
      <c r="K42" s="2" t="s">
        <v>67</v>
      </c>
      <c r="L42" s="22">
        <v>363680</v>
      </c>
      <c r="M42" s="22">
        <v>363680</v>
      </c>
      <c r="N42" s="2" t="s">
        <v>1043</v>
      </c>
      <c r="O42" s="7"/>
      <c r="P42" s="7"/>
      <c r="Q42" s="7"/>
      <c r="R42" s="7"/>
      <c r="S42" s="7"/>
      <c r="T42" s="7"/>
      <c r="U42" s="7"/>
      <c r="V42" s="7"/>
      <c r="W42" s="7"/>
      <c r="X42" s="7">
        <v>109104</v>
      </c>
      <c r="Y42" s="7"/>
      <c r="Z42" s="7"/>
      <c r="AA42" s="7"/>
      <c r="AB42" s="7"/>
      <c r="AC42" s="7"/>
      <c r="AD42" s="7"/>
      <c r="AE42" s="7"/>
      <c r="AF42" s="7"/>
      <c r="AG42" s="7"/>
      <c r="AH42" s="7"/>
      <c r="AI42" s="7"/>
      <c r="AJ42" s="7"/>
      <c r="AK42" s="7"/>
      <c r="AL42" s="7">
        <v>72736</v>
      </c>
      <c r="AM42" s="7">
        <v>181840</v>
      </c>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8">
        <v>45747</v>
      </c>
      <c r="BQ42" s="2"/>
      <c r="BR42" s="2" t="s">
        <v>1801</v>
      </c>
      <c r="BS42" s="1" t="s">
        <v>1698</v>
      </c>
      <c r="BT42" s="14">
        <f t="shared" si="0"/>
        <v>363680</v>
      </c>
      <c r="BU42" s="2" t="str">
        <f t="shared" si="1"/>
        <v>OK</v>
      </c>
      <c r="BV42" s="13">
        <f t="shared" si="2"/>
        <v>0</v>
      </c>
    </row>
    <row r="43" spans="1:74" s="9" customFormat="1" ht="67.5" hidden="1" x14ac:dyDescent="0.25">
      <c r="A43" s="2" t="s">
        <v>1561</v>
      </c>
      <c r="B43" s="2" t="s">
        <v>1044</v>
      </c>
      <c r="C43" s="2" t="s">
        <v>74</v>
      </c>
      <c r="D43" s="12" t="s">
        <v>1045</v>
      </c>
      <c r="E43" s="2"/>
      <c r="F43" s="2" t="s">
        <v>72</v>
      </c>
      <c r="G43" s="2" t="s">
        <v>1638</v>
      </c>
      <c r="H43" s="2" t="s">
        <v>66</v>
      </c>
      <c r="I43" s="2" t="s">
        <v>5</v>
      </c>
      <c r="J43" s="2">
        <v>400</v>
      </c>
      <c r="K43" s="2" t="s">
        <v>67</v>
      </c>
      <c r="L43" s="22">
        <v>100000</v>
      </c>
      <c r="M43" s="22">
        <v>100000</v>
      </c>
      <c r="N43" s="2" t="s">
        <v>39</v>
      </c>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v>100000</v>
      </c>
      <c r="AV43" s="7"/>
      <c r="AW43" s="7"/>
      <c r="AX43" s="7"/>
      <c r="AY43" s="7"/>
      <c r="AZ43" s="7"/>
      <c r="BA43" s="7"/>
      <c r="BB43" s="7"/>
      <c r="BC43" s="7"/>
      <c r="BD43" s="7"/>
      <c r="BE43" s="7"/>
      <c r="BF43" s="7"/>
      <c r="BG43" s="7"/>
      <c r="BH43" s="7"/>
      <c r="BI43" s="7"/>
      <c r="BJ43" s="7"/>
      <c r="BK43" s="7"/>
      <c r="BL43" s="7"/>
      <c r="BM43" s="7"/>
      <c r="BN43" s="7"/>
      <c r="BO43" s="7"/>
      <c r="BP43" s="8">
        <v>45771</v>
      </c>
      <c r="BQ43" s="2"/>
      <c r="BR43" s="2" t="s">
        <v>1799</v>
      </c>
      <c r="BS43" s="1" t="s">
        <v>1697</v>
      </c>
      <c r="BT43" s="14">
        <f t="shared" si="0"/>
        <v>100000</v>
      </c>
      <c r="BU43" s="2" t="str">
        <f t="shared" si="1"/>
        <v>OK</v>
      </c>
      <c r="BV43" s="13">
        <f t="shared" si="2"/>
        <v>0</v>
      </c>
    </row>
    <row r="44" spans="1:74" s="9" customFormat="1" ht="45" hidden="1" x14ac:dyDescent="0.25">
      <c r="A44" s="2" t="s">
        <v>1226</v>
      </c>
      <c r="B44" s="2" t="s">
        <v>1027</v>
      </c>
      <c r="C44" s="2" t="s">
        <v>274</v>
      </c>
      <c r="D44" s="12" t="s">
        <v>1028</v>
      </c>
      <c r="E44" s="2"/>
      <c r="F44" s="2" t="s">
        <v>72</v>
      </c>
      <c r="G44" s="2" t="s">
        <v>1638</v>
      </c>
      <c r="H44" s="2" t="s">
        <v>66</v>
      </c>
      <c r="I44" s="2" t="s">
        <v>5</v>
      </c>
      <c r="J44" s="2">
        <v>400</v>
      </c>
      <c r="K44" s="2" t="s">
        <v>67</v>
      </c>
      <c r="L44" s="22">
        <v>344400</v>
      </c>
      <c r="M44" s="22">
        <v>344400</v>
      </c>
      <c r="N44" s="2" t="s">
        <v>1026</v>
      </c>
      <c r="O44" s="7">
        <v>0</v>
      </c>
      <c r="P44" s="7"/>
      <c r="Q44" s="7"/>
      <c r="R44" s="7"/>
      <c r="S44" s="7"/>
      <c r="T44" s="7"/>
      <c r="U44" s="7"/>
      <c r="V44" s="7"/>
      <c r="W44" s="7"/>
      <c r="X44" s="7">
        <v>344400</v>
      </c>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8">
        <v>45806</v>
      </c>
      <c r="BQ44" s="2"/>
      <c r="BR44" s="2" t="s">
        <v>1799</v>
      </c>
      <c r="BS44" s="1" t="s">
        <v>1697</v>
      </c>
      <c r="BT44" s="14">
        <f t="shared" si="0"/>
        <v>344400</v>
      </c>
      <c r="BU44" s="2" t="str">
        <f t="shared" si="1"/>
        <v>OK</v>
      </c>
      <c r="BV44" s="13">
        <f t="shared" si="2"/>
        <v>0</v>
      </c>
    </row>
    <row r="45" spans="1:74" s="9" customFormat="1" ht="67.5" hidden="1" x14ac:dyDescent="0.25">
      <c r="A45" s="2" t="s">
        <v>1380</v>
      </c>
      <c r="B45" s="2" t="s">
        <v>671</v>
      </c>
      <c r="C45" s="2" t="s">
        <v>350</v>
      </c>
      <c r="D45" s="12" t="s">
        <v>672</v>
      </c>
      <c r="E45" s="2"/>
      <c r="F45" s="2" t="s">
        <v>72</v>
      </c>
      <c r="G45" s="2" t="s">
        <v>1638</v>
      </c>
      <c r="H45" s="2" t="s">
        <v>66</v>
      </c>
      <c r="I45" s="2" t="s">
        <v>5</v>
      </c>
      <c r="J45" s="2">
        <v>700</v>
      </c>
      <c r="K45" s="2" t="s">
        <v>67</v>
      </c>
      <c r="L45" s="22">
        <v>200000</v>
      </c>
      <c r="M45" s="22">
        <v>200000</v>
      </c>
      <c r="N45" s="2" t="s">
        <v>16</v>
      </c>
      <c r="O45" s="7"/>
      <c r="P45" s="7"/>
      <c r="Q45" s="7"/>
      <c r="R45" s="7"/>
      <c r="S45" s="7"/>
      <c r="T45" s="7"/>
      <c r="U45" s="7"/>
      <c r="V45" s="7"/>
      <c r="W45" s="7"/>
      <c r="X45" s="7">
        <v>200000</v>
      </c>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8">
        <v>45820</v>
      </c>
      <c r="BQ45" s="2"/>
      <c r="BR45" s="2" t="s">
        <v>1799</v>
      </c>
      <c r="BS45" s="1" t="s">
        <v>1697</v>
      </c>
      <c r="BT45" s="14">
        <f t="shared" si="0"/>
        <v>200000</v>
      </c>
      <c r="BU45" s="2" t="str">
        <f t="shared" si="1"/>
        <v>OK</v>
      </c>
      <c r="BV45" s="13">
        <f t="shared" si="2"/>
        <v>0</v>
      </c>
    </row>
    <row r="46" spans="1:74" s="9" customFormat="1" ht="56.25" hidden="1" x14ac:dyDescent="0.25">
      <c r="A46" s="2" t="s">
        <v>1551</v>
      </c>
      <c r="B46" s="2" t="s">
        <v>1022</v>
      </c>
      <c r="C46" s="2" t="s">
        <v>552</v>
      </c>
      <c r="D46" s="12" t="s">
        <v>1023</v>
      </c>
      <c r="E46" s="2"/>
      <c r="F46" s="2" t="s">
        <v>65</v>
      </c>
      <c r="G46" s="2" t="s">
        <v>1638</v>
      </c>
      <c r="H46" s="2" t="s">
        <v>66</v>
      </c>
      <c r="I46" s="2" t="s">
        <v>5</v>
      </c>
      <c r="J46" s="2">
        <v>5</v>
      </c>
      <c r="K46" s="2" t="s">
        <v>67</v>
      </c>
      <c r="L46" s="22">
        <v>24950</v>
      </c>
      <c r="M46" s="22">
        <v>24950</v>
      </c>
      <c r="N46" s="2" t="s">
        <v>16</v>
      </c>
      <c r="O46" s="7"/>
      <c r="P46" s="7"/>
      <c r="Q46" s="7"/>
      <c r="R46" s="7"/>
      <c r="S46" s="7"/>
      <c r="T46" s="7"/>
      <c r="U46" s="7"/>
      <c r="V46" s="7"/>
      <c r="W46" s="7"/>
      <c r="X46" s="7">
        <v>24950</v>
      </c>
      <c r="Y46" s="7">
        <v>0</v>
      </c>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8">
        <v>45825</v>
      </c>
      <c r="BQ46" s="2"/>
      <c r="BR46" s="2" t="s">
        <v>1798</v>
      </c>
      <c r="BS46" s="1" t="s">
        <v>1698</v>
      </c>
      <c r="BT46" s="14">
        <f t="shared" si="0"/>
        <v>24950</v>
      </c>
      <c r="BU46" s="2" t="str">
        <f t="shared" si="1"/>
        <v>OK</v>
      </c>
      <c r="BV46" s="13">
        <f t="shared" si="2"/>
        <v>0</v>
      </c>
    </row>
    <row r="47" spans="1:74" s="9" customFormat="1" ht="56.25" hidden="1" x14ac:dyDescent="0.25">
      <c r="A47" s="2" t="s">
        <v>1465</v>
      </c>
      <c r="B47" s="2" t="s">
        <v>827</v>
      </c>
      <c r="C47" s="2" t="s">
        <v>676</v>
      </c>
      <c r="D47" s="12" t="s">
        <v>828</v>
      </c>
      <c r="E47" s="2"/>
      <c r="F47" s="2" t="s">
        <v>65</v>
      </c>
      <c r="G47" s="2" t="s">
        <v>1638</v>
      </c>
      <c r="H47" s="2" t="s">
        <v>66</v>
      </c>
      <c r="I47" s="2" t="s">
        <v>5</v>
      </c>
      <c r="J47" s="2">
        <v>14</v>
      </c>
      <c r="K47" s="2" t="s">
        <v>67</v>
      </c>
      <c r="L47" s="22">
        <v>82460</v>
      </c>
      <c r="M47" s="22">
        <v>82460</v>
      </c>
      <c r="N47" s="2" t="s">
        <v>16</v>
      </c>
      <c r="O47" s="7"/>
      <c r="P47" s="7"/>
      <c r="Q47" s="7"/>
      <c r="R47" s="7"/>
      <c r="S47" s="7"/>
      <c r="T47" s="7"/>
      <c r="U47" s="7"/>
      <c r="V47" s="7"/>
      <c r="W47" s="7"/>
      <c r="X47" s="7">
        <v>82460</v>
      </c>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8">
        <v>45838</v>
      </c>
      <c r="BQ47" s="2"/>
      <c r="BR47" s="2" t="s">
        <v>1800</v>
      </c>
      <c r="BS47" s="1" t="s">
        <v>1697</v>
      </c>
      <c r="BT47" s="14">
        <f t="shared" si="0"/>
        <v>82460</v>
      </c>
      <c r="BU47" s="2" t="str">
        <f t="shared" si="1"/>
        <v>OK</v>
      </c>
      <c r="BV47" s="13">
        <f t="shared" si="2"/>
        <v>0</v>
      </c>
    </row>
    <row r="48" spans="1:74" s="9" customFormat="1" ht="78.75" hidden="1" x14ac:dyDescent="0.25">
      <c r="A48" s="2" t="s">
        <v>1479</v>
      </c>
      <c r="B48" s="2" t="s">
        <v>854</v>
      </c>
      <c r="C48" s="2" t="s">
        <v>74</v>
      </c>
      <c r="D48" s="12" t="s">
        <v>855</v>
      </c>
      <c r="E48" s="2"/>
      <c r="F48" s="2" t="s">
        <v>65</v>
      </c>
      <c r="G48" s="2" t="s">
        <v>1638</v>
      </c>
      <c r="H48" s="2" t="s">
        <v>66</v>
      </c>
      <c r="I48" s="2" t="s">
        <v>5</v>
      </c>
      <c r="J48" s="23">
        <v>1800</v>
      </c>
      <c r="K48" s="2" t="s">
        <v>67</v>
      </c>
      <c r="L48" s="22">
        <v>1000000</v>
      </c>
      <c r="M48" s="22">
        <v>1000000</v>
      </c>
      <c r="N48" s="2" t="s">
        <v>39</v>
      </c>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v>1000000</v>
      </c>
      <c r="AV48" s="7"/>
      <c r="AW48" s="7"/>
      <c r="AX48" s="7"/>
      <c r="AY48" s="7"/>
      <c r="AZ48" s="7"/>
      <c r="BA48" s="7"/>
      <c r="BB48" s="7"/>
      <c r="BC48" s="7"/>
      <c r="BD48" s="7"/>
      <c r="BE48" s="7"/>
      <c r="BF48" s="7"/>
      <c r="BG48" s="7"/>
      <c r="BH48" s="7"/>
      <c r="BI48" s="7"/>
      <c r="BJ48" s="7"/>
      <c r="BK48" s="7"/>
      <c r="BL48" s="7"/>
      <c r="BM48" s="7"/>
      <c r="BN48" s="7"/>
      <c r="BO48" s="7"/>
      <c r="BP48" s="8">
        <v>45845</v>
      </c>
      <c r="BQ48" s="2"/>
      <c r="BR48" s="2" t="s">
        <v>1798</v>
      </c>
      <c r="BS48" s="1" t="s">
        <v>1697</v>
      </c>
      <c r="BT48" s="14">
        <f t="shared" si="0"/>
        <v>1000000</v>
      </c>
      <c r="BU48" s="2" t="str">
        <f t="shared" si="1"/>
        <v>OK</v>
      </c>
      <c r="BV48" s="13">
        <f t="shared" si="2"/>
        <v>0</v>
      </c>
    </row>
    <row r="49" spans="1:74" s="9" customFormat="1" ht="56.25" hidden="1" x14ac:dyDescent="0.25">
      <c r="A49" s="2" t="s">
        <v>1381</v>
      </c>
      <c r="B49" s="2" t="s">
        <v>673</v>
      </c>
      <c r="C49" s="2" t="s">
        <v>350</v>
      </c>
      <c r="D49" s="12" t="s">
        <v>674</v>
      </c>
      <c r="E49" s="2"/>
      <c r="F49" s="2" t="s">
        <v>65</v>
      </c>
      <c r="G49" s="2" t="s">
        <v>1638</v>
      </c>
      <c r="H49" s="2" t="s">
        <v>66</v>
      </c>
      <c r="I49" s="2" t="s">
        <v>319</v>
      </c>
      <c r="J49" s="2">
        <v>1</v>
      </c>
      <c r="K49" s="2" t="s">
        <v>67</v>
      </c>
      <c r="L49" s="22">
        <v>20000</v>
      </c>
      <c r="M49" s="22">
        <v>20000</v>
      </c>
      <c r="N49" s="2" t="s">
        <v>16</v>
      </c>
      <c r="O49" s="7"/>
      <c r="P49" s="7"/>
      <c r="Q49" s="7"/>
      <c r="R49" s="7"/>
      <c r="S49" s="7"/>
      <c r="T49" s="7"/>
      <c r="U49" s="7"/>
      <c r="V49" s="7"/>
      <c r="W49" s="7"/>
      <c r="X49" s="7">
        <v>20000</v>
      </c>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8">
        <v>45861</v>
      </c>
      <c r="BQ49" s="2"/>
      <c r="BR49" s="2" t="s">
        <v>1800</v>
      </c>
      <c r="BS49" s="1" t="s">
        <v>1698</v>
      </c>
      <c r="BT49" s="14">
        <f t="shared" si="0"/>
        <v>20000</v>
      </c>
      <c r="BU49" s="2" t="str">
        <f t="shared" si="1"/>
        <v>OK</v>
      </c>
      <c r="BV49" s="13">
        <f t="shared" si="2"/>
        <v>0</v>
      </c>
    </row>
    <row r="50" spans="1:74" s="9" customFormat="1" ht="101.25" hidden="1" x14ac:dyDescent="0.25">
      <c r="A50" s="2" t="s">
        <v>1556</v>
      </c>
      <c r="B50" s="2" t="s">
        <v>1031</v>
      </c>
      <c r="C50" s="2" t="s">
        <v>74</v>
      </c>
      <c r="D50" s="12" t="s">
        <v>1032</v>
      </c>
      <c r="E50" s="2"/>
      <c r="F50" s="2" t="s">
        <v>72</v>
      </c>
      <c r="G50" s="2" t="s">
        <v>1638</v>
      </c>
      <c r="H50" s="2" t="s">
        <v>66</v>
      </c>
      <c r="I50" s="2" t="s">
        <v>5</v>
      </c>
      <c r="J50" s="2">
        <v>1</v>
      </c>
      <c r="K50" s="2" t="s">
        <v>67</v>
      </c>
      <c r="L50" s="22">
        <v>2000000</v>
      </c>
      <c r="M50" s="22">
        <v>2000000</v>
      </c>
      <c r="N50" s="2" t="s">
        <v>39</v>
      </c>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v>2000000</v>
      </c>
      <c r="AV50" s="7"/>
      <c r="AW50" s="7"/>
      <c r="AX50" s="7"/>
      <c r="AY50" s="7"/>
      <c r="AZ50" s="7"/>
      <c r="BA50" s="7"/>
      <c r="BB50" s="7"/>
      <c r="BC50" s="7"/>
      <c r="BD50" s="7"/>
      <c r="BE50" s="7"/>
      <c r="BF50" s="7"/>
      <c r="BG50" s="7"/>
      <c r="BH50" s="7"/>
      <c r="BI50" s="7"/>
      <c r="BJ50" s="7"/>
      <c r="BK50" s="7"/>
      <c r="BL50" s="7"/>
      <c r="BM50" s="7"/>
      <c r="BN50" s="7"/>
      <c r="BO50" s="7"/>
      <c r="BP50" s="8">
        <v>45889</v>
      </c>
      <c r="BQ50" s="2"/>
      <c r="BR50" s="2" t="s">
        <v>1799</v>
      </c>
      <c r="BS50" s="1" t="s">
        <v>1697</v>
      </c>
      <c r="BT50" s="14">
        <f t="shared" si="0"/>
        <v>2000000</v>
      </c>
      <c r="BU50" s="2" t="str">
        <f t="shared" si="1"/>
        <v>OK</v>
      </c>
      <c r="BV50" s="13">
        <f t="shared" si="2"/>
        <v>0</v>
      </c>
    </row>
    <row r="51" spans="1:74" s="9" customFormat="1" ht="67.5" hidden="1" x14ac:dyDescent="0.25">
      <c r="A51" s="2" t="s">
        <v>1462</v>
      </c>
      <c r="B51" s="2" t="s">
        <v>821</v>
      </c>
      <c r="C51" s="2" t="s">
        <v>676</v>
      </c>
      <c r="D51" s="12" t="s">
        <v>822</v>
      </c>
      <c r="E51" s="2"/>
      <c r="F51" s="2" t="s">
        <v>65</v>
      </c>
      <c r="G51" s="2" t="s">
        <v>1638</v>
      </c>
      <c r="H51" s="2" t="s">
        <v>66</v>
      </c>
      <c r="I51" s="2" t="s">
        <v>5</v>
      </c>
      <c r="J51" s="2">
        <v>6</v>
      </c>
      <c r="K51" s="2" t="s">
        <v>67</v>
      </c>
      <c r="L51" s="22">
        <v>34110</v>
      </c>
      <c r="M51" s="22">
        <v>34110</v>
      </c>
      <c r="N51" s="2" t="s">
        <v>16</v>
      </c>
      <c r="O51" s="7"/>
      <c r="P51" s="7"/>
      <c r="Q51" s="7"/>
      <c r="R51" s="7"/>
      <c r="S51" s="7"/>
      <c r="T51" s="7"/>
      <c r="U51" s="7"/>
      <c r="V51" s="7"/>
      <c r="W51" s="7"/>
      <c r="X51" s="7">
        <v>34110</v>
      </c>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8">
        <v>45897</v>
      </c>
      <c r="BQ51" s="2"/>
      <c r="BR51" s="2" t="s">
        <v>1798</v>
      </c>
      <c r="BS51" s="1" t="s">
        <v>1698</v>
      </c>
      <c r="BT51" s="14">
        <f t="shared" si="0"/>
        <v>34110</v>
      </c>
      <c r="BU51" s="2" t="str">
        <f t="shared" si="1"/>
        <v>OK</v>
      </c>
      <c r="BV51" s="13">
        <f t="shared" si="2"/>
        <v>0</v>
      </c>
    </row>
    <row r="52" spans="1:74" s="9" customFormat="1" ht="67.5" hidden="1" x14ac:dyDescent="0.25">
      <c r="A52" s="2" t="s">
        <v>1382</v>
      </c>
      <c r="B52" s="2" t="s">
        <v>675</v>
      </c>
      <c r="C52" s="2" t="s">
        <v>676</v>
      </c>
      <c r="D52" s="12" t="s">
        <v>677</v>
      </c>
      <c r="E52" s="2"/>
      <c r="F52" s="2" t="s">
        <v>65</v>
      </c>
      <c r="G52" s="2" t="s">
        <v>1638</v>
      </c>
      <c r="H52" s="2" t="s">
        <v>66</v>
      </c>
      <c r="I52" s="2" t="s">
        <v>5</v>
      </c>
      <c r="J52" s="2">
        <v>5</v>
      </c>
      <c r="K52" s="2" t="s">
        <v>67</v>
      </c>
      <c r="L52" s="22">
        <v>18735</v>
      </c>
      <c r="M52" s="22">
        <v>18735</v>
      </c>
      <c r="N52" s="2" t="s">
        <v>16</v>
      </c>
      <c r="O52" s="7"/>
      <c r="P52" s="7"/>
      <c r="Q52" s="7"/>
      <c r="R52" s="7"/>
      <c r="S52" s="7"/>
      <c r="T52" s="7"/>
      <c r="U52" s="7"/>
      <c r="V52" s="7"/>
      <c r="W52" s="7"/>
      <c r="X52" s="7">
        <v>18735</v>
      </c>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8">
        <v>45898</v>
      </c>
      <c r="BQ52" s="2"/>
      <c r="BR52" s="2" t="s">
        <v>1800</v>
      </c>
      <c r="BS52" s="1" t="s">
        <v>1697</v>
      </c>
      <c r="BT52" s="14">
        <f t="shared" si="0"/>
        <v>18735</v>
      </c>
      <c r="BU52" s="2" t="str">
        <f t="shared" si="1"/>
        <v>OK</v>
      </c>
      <c r="BV52" s="13">
        <f t="shared" si="2"/>
        <v>0</v>
      </c>
    </row>
    <row r="53" spans="1:74" s="9" customFormat="1" ht="67.5" hidden="1" x14ac:dyDescent="0.25">
      <c r="A53" s="2" t="s">
        <v>1383</v>
      </c>
      <c r="B53" s="2" t="s">
        <v>678</v>
      </c>
      <c r="C53" s="2" t="s">
        <v>676</v>
      </c>
      <c r="D53" s="12" t="s">
        <v>679</v>
      </c>
      <c r="E53" s="2"/>
      <c r="F53" s="2" t="s">
        <v>65</v>
      </c>
      <c r="G53" s="2" t="s">
        <v>1638</v>
      </c>
      <c r="H53" s="2" t="s">
        <v>66</v>
      </c>
      <c r="I53" s="2" t="s">
        <v>5</v>
      </c>
      <c r="J53" s="2">
        <v>5</v>
      </c>
      <c r="K53" s="2" t="s">
        <v>67</v>
      </c>
      <c r="L53" s="22">
        <v>18735</v>
      </c>
      <c r="M53" s="22">
        <v>18735</v>
      </c>
      <c r="N53" s="2" t="s">
        <v>16</v>
      </c>
      <c r="O53" s="7"/>
      <c r="P53" s="7"/>
      <c r="Q53" s="7"/>
      <c r="R53" s="7"/>
      <c r="S53" s="7"/>
      <c r="T53" s="7"/>
      <c r="U53" s="7"/>
      <c r="V53" s="7"/>
      <c r="W53" s="7"/>
      <c r="X53" s="7">
        <v>18735</v>
      </c>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8">
        <v>45898</v>
      </c>
      <c r="BQ53" s="2"/>
      <c r="BR53" s="2" t="s">
        <v>1798</v>
      </c>
      <c r="BS53" s="1" t="s">
        <v>1698</v>
      </c>
      <c r="BT53" s="14">
        <f t="shared" si="0"/>
        <v>18735</v>
      </c>
      <c r="BU53" s="2" t="str">
        <f t="shared" si="1"/>
        <v>OK</v>
      </c>
      <c r="BV53" s="13">
        <f t="shared" si="2"/>
        <v>0</v>
      </c>
    </row>
    <row r="54" spans="1:74" s="9" customFormat="1" ht="45" hidden="1" x14ac:dyDescent="0.25">
      <c r="A54" s="2" t="s">
        <v>1467</v>
      </c>
      <c r="B54" s="2" t="s">
        <v>831</v>
      </c>
      <c r="C54" s="2" t="s">
        <v>676</v>
      </c>
      <c r="D54" s="12" t="s">
        <v>832</v>
      </c>
      <c r="E54" s="2"/>
      <c r="F54" s="2" t="s">
        <v>65</v>
      </c>
      <c r="G54" s="2" t="s">
        <v>1638</v>
      </c>
      <c r="H54" s="2" t="s">
        <v>66</v>
      </c>
      <c r="I54" s="2" t="s">
        <v>5</v>
      </c>
      <c r="J54" s="2">
        <v>6</v>
      </c>
      <c r="K54" s="2" t="s">
        <v>67</v>
      </c>
      <c r="L54" s="22">
        <v>76570</v>
      </c>
      <c r="M54" s="22">
        <v>76570</v>
      </c>
      <c r="N54" s="2" t="s">
        <v>16</v>
      </c>
      <c r="O54" s="7"/>
      <c r="P54" s="7"/>
      <c r="Q54" s="7"/>
      <c r="R54" s="7"/>
      <c r="S54" s="7"/>
      <c r="T54" s="7"/>
      <c r="U54" s="7"/>
      <c r="V54" s="7"/>
      <c r="W54" s="7"/>
      <c r="X54" s="7">
        <v>76570</v>
      </c>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8">
        <v>45900</v>
      </c>
      <c r="BQ54" s="2"/>
      <c r="BR54" s="2" t="s">
        <v>1800</v>
      </c>
      <c r="BS54" s="1" t="s">
        <v>1697</v>
      </c>
      <c r="BT54" s="14">
        <f t="shared" si="0"/>
        <v>76570</v>
      </c>
      <c r="BU54" s="2" t="str">
        <f t="shared" si="1"/>
        <v>OK</v>
      </c>
      <c r="BV54" s="13">
        <f t="shared" si="2"/>
        <v>0</v>
      </c>
    </row>
    <row r="55" spans="1:74" s="9" customFormat="1" ht="78.75" hidden="1" x14ac:dyDescent="0.25">
      <c r="A55" s="2" t="s">
        <v>1552</v>
      </c>
      <c r="B55" s="2" t="s">
        <v>1020</v>
      </c>
      <c r="C55" s="2" t="s">
        <v>552</v>
      </c>
      <c r="D55" s="12" t="s">
        <v>1021</v>
      </c>
      <c r="E55" s="2"/>
      <c r="F55" s="2" t="s">
        <v>65</v>
      </c>
      <c r="G55" s="2" t="s">
        <v>1638</v>
      </c>
      <c r="H55" s="2" t="s">
        <v>66</v>
      </c>
      <c r="I55" s="2" t="s">
        <v>5</v>
      </c>
      <c r="J55" s="2">
        <v>1</v>
      </c>
      <c r="K55" s="2" t="s">
        <v>67</v>
      </c>
      <c r="L55" s="22">
        <v>3190</v>
      </c>
      <c r="M55" s="22">
        <v>3190</v>
      </c>
      <c r="N55" s="2" t="s">
        <v>16</v>
      </c>
      <c r="O55" s="7"/>
      <c r="P55" s="7"/>
      <c r="Q55" s="7"/>
      <c r="R55" s="7"/>
      <c r="S55" s="7"/>
      <c r="T55" s="7"/>
      <c r="U55" s="7"/>
      <c r="V55" s="7"/>
      <c r="W55" s="7"/>
      <c r="X55" s="7">
        <v>3190</v>
      </c>
      <c r="Y55" s="7">
        <v>0</v>
      </c>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8">
        <v>45916</v>
      </c>
      <c r="BQ55" s="2"/>
      <c r="BR55" s="2" t="s">
        <v>1800</v>
      </c>
      <c r="BS55" s="1" t="s">
        <v>1698</v>
      </c>
      <c r="BT55" s="14">
        <f t="shared" si="0"/>
        <v>3190</v>
      </c>
      <c r="BU55" s="2" t="str">
        <f t="shared" si="1"/>
        <v>OK</v>
      </c>
      <c r="BV55" s="13">
        <f t="shared" si="2"/>
        <v>0</v>
      </c>
    </row>
    <row r="56" spans="1:74" s="9" customFormat="1" ht="56.25" hidden="1" x14ac:dyDescent="0.25">
      <c r="A56" s="2" t="s">
        <v>1562</v>
      </c>
      <c r="B56" s="2" t="s">
        <v>1046</v>
      </c>
      <c r="C56" s="2" t="s">
        <v>337</v>
      </c>
      <c r="D56" s="12" t="s">
        <v>1682</v>
      </c>
      <c r="E56" s="2"/>
      <c r="F56" s="2" t="s">
        <v>72</v>
      </c>
      <c r="G56" s="2" t="s">
        <v>1638</v>
      </c>
      <c r="H56" s="2" t="s">
        <v>66</v>
      </c>
      <c r="I56" s="2" t="s">
        <v>5</v>
      </c>
      <c r="J56" s="2" t="s">
        <v>1618</v>
      </c>
      <c r="K56" s="2" t="s">
        <v>67</v>
      </c>
      <c r="L56" s="22">
        <v>196442.52</v>
      </c>
      <c r="M56" s="22">
        <v>196442.52</v>
      </c>
      <c r="N56" s="2" t="s">
        <v>16</v>
      </c>
      <c r="O56" s="7"/>
      <c r="P56" s="7"/>
      <c r="Q56" s="7"/>
      <c r="R56" s="7"/>
      <c r="S56" s="7"/>
      <c r="T56" s="7"/>
      <c r="U56" s="7"/>
      <c r="V56" s="7"/>
      <c r="W56" s="7"/>
      <c r="X56" s="7">
        <v>196442.52</v>
      </c>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8">
        <v>45924</v>
      </c>
      <c r="BQ56" s="2"/>
      <c r="BR56" s="2" t="s">
        <v>1799</v>
      </c>
      <c r="BS56" s="1" t="s">
        <v>1697</v>
      </c>
      <c r="BT56" s="14">
        <f t="shared" si="0"/>
        <v>196442.52</v>
      </c>
      <c r="BU56" s="2" t="str">
        <f t="shared" si="1"/>
        <v>OK</v>
      </c>
      <c r="BV56" s="13">
        <f t="shared" si="2"/>
        <v>0</v>
      </c>
    </row>
    <row r="57" spans="1:74" s="9" customFormat="1" ht="56.25" hidden="1" x14ac:dyDescent="0.25">
      <c r="A57" s="2" t="s">
        <v>1231</v>
      </c>
      <c r="B57" s="2" t="s">
        <v>1024</v>
      </c>
      <c r="C57" s="2" t="s">
        <v>274</v>
      </c>
      <c r="D57" s="12" t="s">
        <v>1025</v>
      </c>
      <c r="E57" s="2"/>
      <c r="F57" s="2" t="s">
        <v>72</v>
      </c>
      <c r="G57" s="2" t="s">
        <v>1638</v>
      </c>
      <c r="H57" s="2" t="s">
        <v>66</v>
      </c>
      <c r="I57" s="2" t="s">
        <v>5</v>
      </c>
      <c r="J57" s="2">
        <v>400</v>
      </c>
      <c r="K57" s="2" t="s">
        <v>67</v>
      </c>
      <c r="L57" s="22">
        <v>232200</v>
      </c>
      <c r="M57" s="22">
        <v>232200</v>
      </c>
      <c r="N57" s="2" t="s">
        <v>1026</v>
      </c>
      <c r="O57" s="7">
        <v>0</v>
      </c>
      <c r="P57" s="7"/>
      <c r="Q57" s="7"/>
      <c r="R57" s="7"/>
      <c r="S57" s="7"/>
      <c r="T57" s="7"/>
      <c r="U57" s="7"/>
      <c r="V57" s="7"/>
      <c r="W57" s="7"/>
      <c r="X57" s="7">
        <v>232200</v>
      </c>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8">
        <v>45960</v>
      </c>
      <c r="BQ57" s="2"/>
      <c r="BR57" s="2" t="s">
        <v>1801</v>
      </c>
      <c r="BS57" s="1" t="s">
        <v>1698</v>
      </c>
      <c r="BT57" s="14">
        <f t="shared" si="0"/>
        <v>232200</v>
      </c>
      <c r="BU57" s="2" t="str">
        <f t="shared" si="1"/>
        <v>OK</v>
      </c>
      <c r="BV57" s="13">
        <f t="shared" si="2"/>
        <v>0</v>
      </c>
    </row>
    <row r="58" spans="1:74" s="9" customFormat="1" ht="90" hidden="1" x14ac:dyDescent="0.25">
      <c r="A58" s="2" t="s">
        <v>1463</v>
      </c>
      <c r="B58" s="2" t="s">
        <v>823</v>
      </c>
      <c r="C58" s="2" t="s">
        <v>676</v>
      </c>
      <c r="D58" s="12" t="s">
        <v>824</v>
      </c>
      <c r="E58" s="2"/>
      <c r="F58" s="2" t="s">
        <v>65</v>
      </c>
      <c r="G58" s="2" t="s">
        <v>1638</v>
      </c>
      <c r="H58" s="2" t="s">
        <v>66</v>
      </c>
      <c r="I58" s="2" t="s">
        <v>5</v>
      </c>
      <c r="J58" s="2">
        <v>6</v>
      </c>
      <c r="K58" s="2" t="s">
        <v>67</v>
      </c>
      <c r="L58" s="22">
        <v>15960</v>
      </c>
      <c r="M58" s="22">
        <v>15960</v>
      </c>
      <c r="N58" s="2" t="s">
        <v>16</v>
      </c>
      <c r="O58" s="7"/>
      <c r="P58" s="7"/>
      <c r="Q58" s="7"/>
      <c r="R58" s="7"/>
      <c r="S58" s="7"/>
      <c r="T58" s="7"/>
      <c r="U58" s="7"/>
      <c r="V58" s="7"/>
      <c r="W58" s="7"/>
      <c r="X58" s="7">
        <v>15960</v>
      </c>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8">
        <v>45960</v>
      </c>
      <c r="BQ58" s="2"/>
      <c r="BR58" s="2" t="s">
        <v>1800</v>
      </c>
      <c r="BS58" s="1" t="s">
        <v>1698</v>
      </c>
      <c r="BT58" s="14">
        <f t="shared" si="0"/>
        <v>15960</v>
      </c>
      <c r="BU58" s="2" t="str">
        <f t="shared" si="1"/>
        <v>OK</v>
      </c>
      <c r="BV58" s="13">
        <f t="shared" si="2"/>
        <v>0</v>
      </c>
    </row>
    <row r="59" spans="1:74" s="9" customFormat="1" ht="78.75" hidden="1" x14ac:dyDescent="0.25">
      <c r="A59" s="2" t="s">
        <v>1461</v>
      </c>
      <c r="B59" s="2" t="s">
        <v>819</v>
      </c>
      <c r="C59" s="2" t="s">
        <v>676</v>
      </c>
      <c r="D59" s="12" t="s">
        <v>820</v>
      </c>
      <c r="E59" s="2"/>
      <c r="F59" s="2" t="s">
        <v>65</v>
      </c>
      <c r="G59" s="2" t="s">
        <v>1638</v>
      </c>
      <c r="H59" s="2" t="s">
        <v>66</v>
      </c>
      <c r="I59" s="2" t="s">
        <v>5</v>
      </c>
      <c r="J59" s="2">
        <v>14</v>
      </c>
      <c r="K59" s="2" t="s">
        <v>67</v>
      </c>
      <c r="L59" s="22">
        <v>35340</v>
      </c>
      <c r="M59" s="22">
        <v>35340</v>
      </c>
      <c r="N59" s="2" t="s">
        <v>16</v>
      </c>
      <c r="O59" s="7"/>
      <c r="P59" s="7"/>
      <c r="Q59" s="7"/>
      <c r="R59" s="7"/>
      <c r="S59" s="7"/>
      <c r="T59" s="7"/>
      <c r="U59" s="7"/>
      <c r="V59" s="7"/>
      <c r="W59" s="7"/>
      <c r="X59" s="7">
        <v>35340</v>
      </c>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8">
        <v>45961</v>
      </c>
      <c r="BQ59" s="2"/>
      <c r="BR59" s="2" t="s">
        <v>1798</v>
      </c>
      <c r="BS59" s="2"/>
      <c r="BT59" s="14">
        <f t="shared" si="0"/>
        <v>35340</v>
      </c>
      <c r="BU59" s="2" t="str">
        <f t="shared" si="1"/>
        <v>OK</v>
      </c>
      <c r="BV59" s="13">
        <f t="shared" si="2"/>
        <v>0</v>
      </c>
    </row>
    <row r="60" spans="1:74" s="9" customFormat="1" ht="67.5" hidden="1" x14ac:dyDescent="0.25">
      <c r="A60" s="2" t="s">
        <v>1550</v>
      </c>
      <c r="B60" s="2" t="s">
        <v>1018</v>
      </c>
      <c r="C60" s="2" t="s">
        <v>552</v>
      </c>
      <c r="D60" s="12" t="s">
        <v>1019</v>
      </c>
      <c r="E60" s="2"/>
      <c r="F60" s="2" t="s">
        <v>65</v>
      </c>
      <c r="G60" s="2" t="s">
        <v>1638</v>
      </c>
      <c r="H60" s="2" t="s">
        <v>66</v>
      </c>
      <c r="I60" s="2" t="s">
        <v>5</v>
      </c>
      <c r="J60" s="2">
        <v>5</v>
      </c>
      <c r="K60" s="2" t="s">
        <v>67</v>
      </c>
      <c r="L60" s="22">
        <v>24950</v>
      </c>
      <c r="M60" s="22">
        <v>24950</v>
      </c>
      <c r="N60" s="2" t="s">
        <v>16</v>
      </c>
      <c r="O60" s="7"/>
      <c r="P60" s="7"/>
      <c r="Q60" s="7"/>
      <c r="R60" s="7"/>
      <c r="S60" s="7"/>
      <c r="T60" s="7"/>
      <c r="U60" s="7"/>
      <c r="V60" s="7"/>
      <c r="W60" s="7"/>
      <c r="X60" s="7">
        <v>24950</v>
      </c>
      <c r="Y60" s="7">
        <v>0</v>
      </c>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8">
        <v>45964</v>
      </c>
      <c r="BQ60" s="2"/>
      <c r="BR60" s="2" t="s">
        <v>1800</v>
      </c>
      <c r="BS60" s="2"/>
      <c r="BT60" s="14">
        <f t="shared" si="0"/>
        <v>24950</v>
      </c>
      <c r="BU60" s="2" t="str">
        <f t="shared" si="1"/>
        <v>OK</v>
      </c>
      <c r="BV60" s="13">
        <f t="shared" si="2"/>
        <v>0</v>
      </c>
    </row>
    <row r="61" spans="1:74" s="9" customFormat="1" ht="101.25" hidden="1" x14ac:dyDescent="0.25">
      <c r="A61" s="2" t="s">
        <v>1555</v>
      </c>
      <c r="B61" s="2" t="s">
        <v>1029</v>
      </c>
      <c r="C61" s="2" t="s">
        <v>74</v>
      </c>
      <c r="D61" s="12" t="s">
        <v>1030</v>
      </c>
      <c r="E61" s="2"/>
      <c r="F61" s="2" t="s">
        <v>72</v>
      </c>
      <c r="G61" s="2" t="s">
        <v>1638</v>
      </c>
      <c r="H61" s="2" t="s">
        <v>66</v>
      </c>
      <c r="I61" s="2" t="s">
        <v>5</v>
      </c>
      <c r="J61" s="2">
        <v>1</v>
      </c>
      <c r="K61" s="2" t="s">
        <v>67</v>
      </c>
      <c r="L61" s="22">
        <v>150000</v>
      </c>
      <c r="M61" s="22">
        <v>150000</v>
      </c>
      <c r="N61" s="2" t="s">
        <v>39</v>
      </c>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v>150000</v>
      </c>
      <c r="AV61" s="7"/>
      <c r="AW61" s="7"/>
      <c r="AX61" s="7"/>
      <c r="AY61" s="7"/>
      <c r="AZ61" s="7"/>
      <c r="BA61" s="7"/>
      <c r="BB61" s="7"/>
      <c r="BC61" s="7"/>
      <c r="BD61" s="7"/>
      <c r="BE61" s="7"/>
      <c r="BF61" s="7"/>
      <c r="BG61" s="7"/>
      <c r="BH61" s="7"/>
      <c r="BI61" s="7"/>
      <c r="BJ61" s="7"/>
      <c r="BK61" s="7"/>
      <c r="BL61" s="7"/>
      <c r="BM61" s="7"/>
      <c r="BN61" s="7"/>
      <c r="BO61" s="7"/>
      <c r="BP61" s="8">
        <v>45980</v>
      </c>
      <c r="BQ61" s="2"/>
      <c r="BR61" s="2" t="s">
        <v>1801</v>
      </c>
      <c r="BS61" s="2"/>
      <c r="BT61" s="14">
        <f t="shared" si="0"/>
        <v>150000</v>
      </c>
      <c r="BU61" s="2" t="str">
        <f t="shared" si="1"/>
        <v>OK</v>
      </c>
      <c r="BV61" s="13">
        <f t="shared" si="2"/>
        <v>0</v>
      </c>
    </row>
    <row r="62" spans="1:74" s="9" customFormat="1" ht="101.25" hidden="1" x14ac:dyDescent="0.25">
      <c r="A62" s="2" t="s">
        <v>1379</v>
      </c>
      <c r="B62" s="2" t="s">
        <v>669</v>
      </c>
      <c r="C62" s="2" t="s">
        <v>350</v>
      </c>
      <c r="D62" s="12" t="s">
        <v>670</v>
      </c>
      <c r="E62" s="2"/>
      <c r="F62" s="2" t="s">
        <v>72</v>
      </c>
      <c r="G62" s="2" t="s">
        <v>1638</v>
      </c>
      <c r="H62" s="2" t="s">
        <v>66</v>
      </c>
      <c r="I62" s="2" t="s">
        <v>5</v>
      </c>
      <c r="J62" s="2" t="s">
        <v>1618</v>
      </c>
      <c r="K62" s="2" t="s">
        <v>67</v>
      </c>
      <c r="L62" s="22">
        <v>90000</v>
      </c>
      <c r="M62" s="22">
        <v>90000</v>
      </c>
      <c r="N62" s="2" t="s">
        <v>16</v>
      </c>
      <c r="O62" s="7"/>
      <c r="P62" s="7"/>
      <c r="Q62" s="7"/>
      <c r="R62" s="7"/>
      <c r="S62" s="7"/>
      <c r="T62" s="7"/>
      <c r="U62" s="7"/>
      <c r="V62" s="7"/>
      <c r="W62" s="7"/>
      <c r="X62" s="7">
        <v>90000</v>
      </c>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8">
        <v>45986</v>
      </c>
      <c r="BQ62" s="2"/>
      <c r="BR62" s="2" t="s">
        <v>1799</v>
      </c>
      <c r="BS62" s="2" t="s">
        <v>1737</v>
      </c>
      <c r="BT62" s="14">
        <f t="shared" si="0"/>
        <v>90000</v>
      </c>
      <c r="BU62" s="2" t="str">
        <f t="shared" si="1"/>
        <v>OK</v>
      </c>
      <c r="BV62" s="13">
        <f t="shared" si="2"/>
        <v>0</v>
      </c>
    </row>
    <row r="63" spans="1:74" s="9" customFormat="1" ht="67.5" hidden="1" x14ac:dyDescent="0.25">
      <c r="A63" s="2" t="s">
        <v>1235</v>
      </c>
      <c r="B63" s="2" t="s">
        <v>349</v>
      </c>
      <c r="C63" s="2" t="s">
        <v>350</v>
      </c>
      <c r="D63" s="12" t="s">
        <v>351</v>
      </c>
      <c r="E63" s="2"/>
      <c r="F63" s="2" t="s">
        <v>65</v>
      </c>
      <c r="G63" s="2" t="s">
        <v>1640</v>
      </c>
      <c r="H63" s="2" t="s">
        <v>66</v>
      </c>
      <c r="I63" s="2" t="s">
        <v>5</v>
      </c>
      <c r="J63" s="2">
        <v>80</v>
      </c>
      <c r="K63" s="2" t="s">
        <v>67</v>
      </c>
      <c r="L63" s="22">
        <v>32000</v>
      </c>
      <c r="M63" s="22">
        <v>32000</v>
      </c>
      <c r="N63" s="2" t="s">
        <v>20</v>
      </c>
      <c r="O63" s="7"/>
      <c r="P63" s="7"/>
      <c r="Q63" s="7"/>
      <c r="R63" s="7"/>
      <c r="S63" s="7"/>
      <c r="T63" s="7"/>
      <c r="U63" s="7"/>
      <c r="V63" s="7"/>
      <c r="W63" s="7"/>
      <c r="X63" s="7"/>
      <c r="Y63" s="7"/>
      <c r="Z63" s="7"/>
      <c r="AA63" s="7"/>
      <c r="AB63" s="7">
        <v>32000</v>
      </c>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8">
        <v>45600</v>
      </c>
      <c r="BQ63" s="2"/>
      <c r="BR63" s="2" t="s">
        <v>1798</v>
      </c>
      <c r="BS63" s="2"/>
      <c r="BT63" s="14">
        <f t="shared" si="0"/>
        <v>32000</v>
      </c>
      <c r="BU63" s="2" t="str">
        <f t="shared" si="1"/>
        <v>OK</v>
      </c>
      <c r="BV63" s="13">
        <f t="shared" si="2"/>
        <v>0</v>
      </c>
    </row>
    <row r="64" spans="1:74" s="9" customFormat="1" ht="81.75" hidden="1" customHeight="1" x14ac:dyDescent="0.25">
      <c r="A64" s="2" t="s">
        <v>1398</v>
      </c>
      <c r="B64" s="2" t="s">
        <v>710</v>
      </c>
      <c r="C64" s="2" t="s">
        <v>711</v>
      </c>
      <c r="D64" s="12" t="s">
        <v>712</v>
      </c>
      <c r="E64" s="2"/>
      <c r="F64" s="2" t="s">
        <v>65</v>
      </c>
      <c r="G64" s="2" t="s">
        <v>1640</v>
      </c>
      <c r="H64" s="2" t="s">
        <v>66</v>
      </c>
      <c r="I64" s="2" t="s">
        <v>5</v>
      </c>
      <c r="J64" s="2">
        <v>200</v>
      </c>
      <c r="K64" s="2" t="s">
        <v>67</v>
      </c>
      <c r="L64" s="22">
        <v>400000</v>
      </c>
      <c r="M64" s="22">
        <v>400000</v>
      </c>
      <c r="N64" s="2" t="s">
        <v>713</v>
      </c>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v>400000</v>
      </c>
      <c r="BB64" s="7"/>
      <c r="BC64" s="7"/>
      <c r="BD64" s="7"/>
      <c r="BE64" s="7"/>
      <c r="BF64" s="7"/>
      <c r="BG64" s="7"/>
      <c r="BH64" s="7"/>
      <c r="BI64" s="7"/>
      <c r="BJ64" s="7"/>
      <c r="BK64" s="7"/>
      <c r="BL64" s="7"/>
      <c r="BM64" s="7"/>
      <c r="BN64" s="7"/>
      <c r="BO64" s="7"/>
      <c r="BP64" s="8">
        <v>45789</v>
      </c>
      <c r="BQ64" s="2"/>
      <c r="BR64" s="2" t="s">
        <v>1800</v>
      </c>
      <c r="BS64" s="2"/>
      <c r="BT64" s="14">
        <f t="shared" si="0"/>
        <v>400000</v>
      </c>
      <c r="BU64" s="2" t="str">
        <f t="shared" si="1"/>
        <v>OK</v>
      </c>
      <c r="BV64" s="13">
        <f t="shared" si="2"/>
        <v>0</v>
      </c>
    </row>
    <row r="65" spans="1:75" s="9" customFormat="1" ht="62.25" hidden="1" customHeight="1" x14ac:dyDescent="0.25">
      <c r="A65" s="2" t="s">
        <v>1223</v>
      </c>
      <c r="B65" s="2" t="s">
        <v>280</v>
      </c>
      <c r="C65" s="2" t="s">
        <v>274</v>
      </c>
      <c r="D65" s="12" t="s">
        <v>281</v>
      </c>
      <c r="E65" s="2"/>
      <c r="F65" s="2" t="s">
        <v>72</v>
      </c>
      <c r="G65" s="2" t="s">
        <v>1640</v>
      </c>
      <c r="H65" s="2" t="s">
        <v>66</v>
      </c>
      <c r="I65" s="2" t="s">
        <v>5</v>
      </c>
      <c r="J65" s="2">
        <v>500</v>
      </c>
      <c r="K65" s="2" t="s">
        <v>67</v>
      </c>
      <c r="L65" s="22">
        <v>420750</v>
      </c>
      <c r="M65" s="22">
        <v>420750</v>
      </c>
      <c r="N65" s="2" t="s">
        <v>282</v>
      </c>
      <c r="O65" s="7">
        <v>0</v>
      </c>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v>420750</v>
      </c>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8">
        <v>45987</v>
      </c>
      <c r="BQ65" s="2"/>
      <c r="BR65" s="2" t="s">
        <v>1801</v>
      </c>
      <c r="BS65" s="2"/>
      <c r="BT65" s="14">
        <f t="shared" si="0"/>
        <v>420750</v>
      </c>
      <c r="BU65" s="2" t="str">
        <f t="shared" si="1"/>
        <v>OK</v>
      </c>
      <c r="BV65" s="13">
        <f t="shared" si="2"/>
        <v>0</v>
      </c>
    </row>
    <row r="66" spans="1:75" s="9" customFormat="1" ht="67.5" hidden="1" x14ac:dyDescent="0.25">
      <c r="A66" s="24" t="s">
        <v>1396</v>
      </c>
      <c r="B66" s="24" t="s">
        <v>1012</v>
      </c>
      <c r="C66" s="24" t="s">
        <v>681</v>
      </c>
      <c r="D66" s="69" t="s">
        <v>1013</v>
      </c>
      <c r="E66" s="2"/>
      <c r="F66" s="24" t="s">
        <v>65</v>
      </c>
      <c r="G66" s="24" t="s">
        <v>1634</v>
      </c>
      <c r="H66" s="24" t="s">
        <v>66</v>
      </c>
      <c r="I66" s="24" t="s">
        <v>1014</v>
      </c>
      <c r="J66" s="24" t="s">
        <v>1618</v>
      </c>
      <c r="K66" s="24" t="s">
        <v>67</v>
      </c>
      <c r="L66" s="70">
        <v>3360000</v>
      </c>
      <c r="M66" s="70">
        <v>1120000</v>
      </c>
      <c r="N66" s="24" t="s">
        <v>14</v>
      </c>
      <c r="O66" s="7">
        <v>0</v>
      </c>
      <c r="P66" s="7"/>
      <c r="Q66" s="7"/>
      <c r="R66" s="7"/>
      <c r="S66" s="7"/>
      <c r="T66" s="7"/>
      <c r="U66" s="7"/>
      <c r="V66" s="7">
        <v>1120000</v>
      </c>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8">
        <v>45922</v>
      </c>
      <c r="BQ66" s="24"/>
      <c r="BR66" s="2" t="s">
        <v>1798</v>
      </c>
      <c r="BS66" s="72" t="s">
        <v>1741</v>
      </c>
      <c r="BT66" s="14">
        <f t="shared" si="0"/>
        <v>1120000</v>
      </c>
      <c r="BU66" s="2" t="str">
        <f t="shared" si="1"/>
        <v>OK</v>
      </c>
      <c r="BV66" s="13">
        <f t="shared" si="2"/>
        <v>0</v>
      </c>
    </row>
    <row r="67" spans="1:75" s="9" customFormat="1" ht="51" customHeight="1" x14ac:dyDescent="0.25">
      <c r="A67" s="2" t="s">
        <v>1434</v>
      </c>
      <c r="B67" s="2" t="s">
        <v>938</v>
      </c>
      <c r="C67" s="2" t="s">
        <v>681</v>
      </c>
      <c r="D67" s="12" t="s">
        <v>1859</v>
      </c>
      <c r="E67" s="12" t="s">
        <v>940</v>
      </c>
      <c r="F67" s="2" t="s">
        <v>65</v>
      </c>
      <c r="G67" s="2" t="s">
        <v>2025</v>
      </c>
      <c r="H67" s="2" t="s">
        <v>294</v>
      </c>
      <c r="I67" s="2" t="s">
        <v>5</v>
      </c>
      <c r="J67" s="2" t="s">
        <v>1675</v>
      </c>
      <c r="K67" s="2" t="s">
        <v>67</v>
      </c>
      <c r="L67" s="22">
        <v>351188.78</v>
      </c>
      <c r="M67" s="22">
        <v>351188.78</v>
      </c>
      <c r="N67" s="2" t="s">
        <v>1144</v>
      </c>
      <c r="O67" s="7">
        <v>0</v>
      </c>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f>M67</f>
        <v>351188.78</v>
      </c>
      <c r="BE67" s="7"/>
      <c r="BF67" s="7"/>
      <c r="BG67" s="7"/>
      <c r="BH67" s="7"/>
      <c r="BI67" s="7"/>
      <c r="BJ67" s="7"/>
      <c r="BK67" s="7"/>
      <c r="BL67" s="7"/>
      <c r="BM67" s="7"/>
      <c r="BN67" s="7"/>
      <c r="BO67" s="7"/>
      <c r="BP67" s="8"/>
      <c r="BQ67" s="8">
        <v>45704</v>
      </c>
      <c r="BR67" s="2"/>
      <c r="BS67" s="2" t="s">
        <v>1780</v>
      </c>
      <c r="BT67" s="14">
        <f t="shared" si="0"/>
        <v>351188.78</v>
      </c>
      <c r="BU67" s="2" t="str">
        <f t="shared" si="1"/>
        <v>OK</v>
      </c>
      <c r="BV67" s="13">
        <f t="shared" si="2"/>
        <v>0</v>
      </c>
    </row>
    <row r="68" spans="1:75" s="9" customFormat="1" ht="56.25" x14ac:dyDescent="0.25">
      <c r="A68" s="2" t="s">
        <v>1484</v>
      </c>
      <c r="B68" s="2" t="s">
        <v>888</v>
      </c>
      <c r="C68" s="2" t="s">
        <v>681</v>
      </c>
      <c r="D68" s="12" t="s">
        <v>889</v>
      </c>
      <c r="E68" s="12" t="s">
        <v>890</v>
      </c>
      <c r="F68" s="2" t="s">
        <v>65</v>
      </c>
      <c r="G68" s="2" t="s">
        <v>2025</v>
      </c>
      <c r="H68" s="2" t="s">
        <v>77</v>
      </c>
      <c r="I68" s="2" t="s">
        <v>5</v>
      </c>
      <c r="J68" s="2">
        <v>1</v>
      </c>
      <c r="K68" s="2" t="s">
        <v>67</v>
      </c>
      <c r="L68" s="22">
        <v>39466.67</v>
      </c>
      <c r="M68" s="22">
        <v>39466.67</v>
      </c>
      <c r="N68" s="2" t="s">
        <v>49</v>
      </c>
      <c r="O68" s="7">
        <v>0</v>
      </c>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f>M68</f>
        <v>39466.67</v>
      </c>
      <c r="BF68" s="7"/>
      <c r="BG68" s="7"/>
      <c r="BH68" s="7"/>
      <c r="BI68" s="7"/>
      <c r="BJ68" s="7"/>
      <c r="BK68" s="7"/>
      <c r="BL68" s="7"/>
      <c r="BM68" s="7"/>
      <c r="BN68" s="7"/>
      <c r="BO68" s="7"/>
      <c r="BP68" s="2"/>
      <c r="BQ68" s="8">
        <v>45720</v>
      </c>
      <c r="BR68" s="8"/>
      <c r="BS68" s="2" t="s">
        <v>1780</v>
      </c>
      <c r="BT68" s="14">
        <f t="shared" si="0"/>
        <v>39466.67</v>
      </c>
      <c r="BU68" s="2" t="str">
        <f t="shared" si="1"/>
        <v>OK</v>
      </c>
      <c r="BV68" s="13">
        <f t="shared" si="2"/>
        <v>0</v>
      </c>
    </row>
    <row r="69" spans="1:75" s="9" customFormat="1" ht="67.5" hidden="1" x14ac:dyDescent="0.25">
      <c r="A69" s="73" t="s">
        <v>1593</v>
      </c>
      <c r="B69" s="24" t="s">
        <v>300</v>
      </c>
      <c r="C69" s="73" t="s">
        <v>274</v>
      </c>
      <c r="D69" s="74" t="s">
        <v>301</v>
      </c>
      <c r="E69" s="2"/>
      <c r="F69" s="73" t="s">
        <v>65</v>
      </c>
      <c r="G69" s="73" t="s">
        <v>1634</v>
      </c>
      <c r="H69" s="73" t="s">
        <v>66</v>
      </c>
      <c r="I69" s="73" t="s">
        <v>5</v>
      </c>
      <c r="J69" s="75">
        <v>4000</v>
      </c>
      <c r="K69" s="73" t="s">
        <v>67</v>
      </c>
      <c r="L69" s="76">
        <v>32720</v>
      </c>
      <c r="M69" s="76">
        <v>32720</v>
      </c>
      <c r="N69" s="73" t="s">
        <v>282</v>
      </c>
      <c r="O69" s="7">
        <v>0</v>
      </c>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v>32720</v>
      </c>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46">
        <v>45931</v>
      </c>
      <c r="BQ69" s="24"/>
      <c r="BR69" s="38" t="s">
        <v>1798</v>
      </c>
      <c r="BS69" s="24"/>
      <c r="BT69" s="14">
        <f t="shared" ref="BT69:BT132" si="3">SUM(O69:BO69)</f>
        <v>32720</v>
      </c>
      <c r="BU69" s="2" t="str">
        <f t="shared" ref="BU69:BU132" si="4">IF(M69=BT69,"OK","CORRIGIR")</f>
        <v>OK</v>
      </c>
      <c r="BV69" s="13">
        <f t="shared" ref="BV69:BV132" si="5">M69-BT69</f>
        <v>0</v>
      </c>
    </row>
    <row r="70" spans="1:75" s="9" customFormat="1" ht="45" x14ac:dyDescent="0.25">
      <c r="A70" s="2" t="s">
        <v>1440</v>
      </c>
      <c r="B70" s="2" t="s">
        <v>977</v>
      </c>
      <c r="C70" s="2" t="s">
        <v>681</v>
      </c>
      <c r="D70" s="12" t="s">
        <v>978</v>
      </c>
      <c r="E70" s="12" t="s">
        <v>979</v>
      </c>
      <c r="F70" s="2" t="s">
        <v>65</v>
      </c>
      <c r="G70" s="2" t="s">
        <v>2025</v>
      </c>
      <c r="H70" s="2" t="s">
        <v>294</v>
      </c>
      <c r="I70" s="2" t="s">
        <v>5</v>
      </c>
      <c r="J70" s="2" t="s">
        <v>1675</v>
      </c>
      <c r="K70" s="2" t="s">
        <v>67</v>
      </c>
      <c r="L70" s="22">
        <v>234317.8</v>
      </c>
      <c r="M70" s="22">
        <v>234317.8</v>
      </c>
      <c r="N70" s="2" t="s">
        <v>14</v>
      </c>
      <c r="O70" s="7"/>
      <c r="P70" s="7"/>
      <c r="Q70" s="7"/>
      <c r="R70" s="7"/>
      <c r="S70" s="7"/>
      <c r="T70" s="7"/>
      <c r="U70" s="7"/>
      <c r="V70" s="7">
        <v>234317.8</v>
      </c>
      <c r="W70" s="7">
        <v>0</v>
      </c>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8"/>
      <c r="BQ70" s="8">
        <v>45723</v>
      </c>
      <c r="BR70" s="2"/>
      <c r="BS70" s="2" t="s">
        <v>1780</v>
      </c>
      <c r="BT70" s="14">
        <f t="shared" si="3"/>
        <v>234317.8</v>
      </c>
      <c r="BU70" s="2" t="str">
        <f t="shared" si="4"/>
        <v>OK</v>
      </c>
      <c r="BV70" s="13">
        <f t="shared" si="5"/>
        <v>0</v>
      </c>
    </row>
    <row r="71" spans="1:75" s="9" customFormat="1" ht="56.25" hidden="1" x14ac:dyDescent="0.25">
      <c r="A71" s="24" t="s">
        <v>1400</v>
      </c>
      <c r="B71" s="24" t="s">
        <v>752</v>
      </c>
      <c r="C71" s="24" t="s">
        <v>715</v>
      </c>
      <c r="D71" s="69" t="s">
        <v>753</v>
      </c>
      <c r="E71" s="2"/>
      <c r="F71" s="24" t="s">
        <v>65</v>
      </c>
      <c r="G71" s="24" t="s">
        <v>1634</v>
      </c>
      <c r="H71" s="24" t="s">
        <v>66</v>
      </c>
      <c r="I71" s="24" t="s">
        <v>754</v>
      </c>
      <c r="J71" s="24" t="s">
        <v>1618</v>
      </c>
      <c r="K71" s="24" t="s">
        <v>67</v>
      </c>
      <c r="L71" s="70">
        <v>5485000</v>
      </c>
      <c r="M71" s="70">
        <v>1042500</v>
      </c>
      <c r="N71" s="24" t="s">
        <v>10</v>
      </c>
      <c r="O71" s="7">
        <v>1042500</v>
      </c>
      <c r="P71" s="7"/>
      <c r="Q71" s="7"/>
      <c r="R71" s="7"/>
      <c r="S71" s="7">
        <v>0</v>
      </c>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8">
        <v>45992</v>
      </c>
      <c r="BQ71" s="24"/>
      <c r="BR71" s="2" t="s">
        <v>1798</v>
      </c>
      <c r="BS71" s="24"/>
      <c r="BT71" s="14">
        <f t="shared" si="3"/>
        <v>1042500</v>
      </c>
      <c r="BU71" s="2" t="str">
        <f t="shared" si="4"/>
        <v>OK</v>
      </c>
      <c r="BV71" s="13">
        <f t="shared" si="5"/>
        <v>0</v>
      </c>
    </row>
    <row r="72" spans="1:75" s="9" customFormat="1" ht="90" x14ac:dyDescent="0.25">
      <c r="A72" s="2" t="s">
        <v>1447</v>
      </c>
      <c r="B72" s="2" t="s">
        <v>1000</v>
      </c>
      <c r="C72" s="2" t="s">
        <v>681</v>
      </c>
      <c r="D72" s="12" t="s">
        <v>1001</v>
      </c>
      <c r="E72" s="12" t="s">
        <v>1002</v>
      </c>
      <c r="F72" s="2" t="s">
        <v>65</v>
      </c>
      <c r="G72" s="2" t="s">
        <v>2025</v>
      </c>
      <c r="H72" s="2" t="s">
        <v>294</v>
      </c>
      <c r="I72" s="2" t="s">
        <v>5</v>
      </c>
      <c r="J72" s="2" t="s">
        <v>1675</v>
      </c>
      <c r="K72" s="2" t="s">
        <v>67</v>
      </c>
      <c r="L72" s="22">
        <v>162681.76</v>
      </c>
      <c r="M72" s="22">
        <v>162681.76</v>
      </c>
      <c r="N72" s="2" t="s">
        <v>14</v>
      </c>
      <c r="O72" s="7">
        <v>0</v>
      </c>
      <c r="P72" s="7"/>
      <c r="Q72" s="7"/>
      <c r="R72" s="7"/>
      <c r="S72" s="7"/>
      <c r="T72" s="7"/>
      <c r="U72" s="7"/>
      <c r="V72" s="7">
        <v>162681.76</v>
      </c>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8"/>
      <c r="BQ72" s="8">
        <v>45731</v>
      </c>
      <c r="BR72" s="2"/>
      <c r="BS72" s="2" t="s">
        <v>1780</v>
      </c>
      <c r="BT72" s="14">
        <f t="shared" si="3"/>
        <v>162681.76</v>
      </c>
      <c r="BU72" s="2" t="str">
        <f t="shared" si="4"/>
        <v>OK</v>
      </c>
      <c r="BV72" s="13">
        <f t="shared" si="5"/>
        <v>0</v>
      </c>
    </row>
    <row r="73" spans="1:75" s="9" customFormat="1" ht="78.75" x14ac:dyDescent="0.25">
      <c r="A73" s="2" t="s">
        <v>1445</v>
      </c>
      <c r="B73" s="2" t="s">
        <v>990</v>
      </c>
      <c r="C73" s="2" t="s">
        <v>681</v>
      </c>
      <c r="D73" s="12" t="s">
        <v>1860</v>
      </c>
      <c r="E73" s="12" t="s">
        <v>992</v>
      </c>
      <c r="F73" s="2" t="s">
        <v>65</v>
      </c>
      <c r="G73" s="2" t="s">
        <v>2025</v>
      </c>
      <c r="H73" s="2" t="s">
        <v>294</v>
      </c>
      <c r="I73" s="2" t="s">
        <v>5</v>
      </c>
      <c r="J73" s="2">
        <v>1</v>
      </c>
      <c r="K73" s="2" t="s">
        <v>67</v>
      </c>
      <c r="L73" s="22">
        <v>181042.95</v>
      </c>
      <c r="M73" s="22">
        <v>181042.95</v>
      </c>
      <c r="N73" s="2" t="s">
        <v>14</v>
      </c>
      <c r="O73" s="7"/>
      <c r="P73" s="7"/>
      <c r="Q73" s="7"/>
      <c r="R73" s="7"/>
      <c r="S73" s="7">
        <v>0</v>
      </c>
      <c r="T73" s="7"/>
      <c r="U73" s="7"/>
      <c r="V73" s="7">
        <v>181042.95</v>
      </c>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8"/>
      <c r="BQ73" s="8">
        <v>45748</v>
      </c>
      <c r="BR73" s="2"/>
      <c r="BS73" s="2" t="s">
        <v>1780</v>
      </c>
      <c r="BT73" s="14">
        <f t="shared" si="3"/>
        <v>181042.95</v>
      </c>
      <c r="BU73" s="2" t="str">
        <f t="shared" si="4"/>
        <v>OK</v>
      </c>
      <c r="BV73" s="13">
        <f t="shared" si="5"/>
        <v>0</v>
      </c>
    </row>
    <row r="74" spans="1:75" s="9" customFormat="1" ht="90" hidden="1" x14ac:dyDescent="0.25">
      <c r="A74" s="38" t="s">
        <v>1211</v>
      </c>
      <c r="B74" s="2" t="s">
        <v>320</v>
      </c>
      <c r="C74" s="38" t="s">
        <v>274</v>
      </c>
      <c r="D74" s="47" t="s">
        <v>292</v>
      </c>
      <c r="E74" s="2"/>
      <c r="F74" s="38" t="s">
        <v>65</v>
      </c>
      <c r="G74" s="38" t="s">
        <v>1672</v>
      </c>
      <c r="H74" s="38" t="s">
        <v>66</v>
      </c>
      <c r="I74" s="38" t="s">
        <v>5</v>
      </c>
      <c r="J74" s="49">
        <v>1000</v>
      </c>
      <c r="K74" s="38" t="s">
        <v>67</v>
      </c>
      <c r="L74" s="48">
        <v>10405510.689999999</v>
      </c>
      <c r="M74" s="48">
        <v>5405510.6900000004</v>
      </c>
      <c r="N74" s="38" t="s">
        <v>282</v>
      </c>
      <c r="O74" s="7">
        <v>0</v>
      </c>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v>5405510.6900000004</v>
      </c>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46">
        <v>45698</v>
      </c>
      <c r="BQ74" s="2"/>
      <c r="BR74" s="38" t="s">
        <v>1798</v>
      </c>
      <c r="BS74" s="8" t="s">
        <v>1737</v>
      </c>
      <c r="BT74" s="14">
        <f t="shared" si="3"/>
        <v>5405510.6900000004</v>
      </c>
      <c r="BU74" s="2" t="str">
        <f t="shared" si="4"/>
        <v>OK</v>
      </c>
      <c r="BV74" s="13">
        <f t="shared" si="5"/>
        <v>0</v>
      </c>
    </row>
    <row r="75" spans="1:75" s="9" customFormat="1" ht="78.75" hidden="1" x14ac:dyDescent="0.25">
      <c r="A75" s="38" t="s">
        <v>1216</v>
      </c>
      <c r="B75" s="2" t="s">
        <v>316</v>
      </c>
      <c r="C75" s="38" t="s">
        <v>274</v>
      </c>
      <c r="D75" s="47" t="s">
        <v>1823</v>
      </c>
      <c r="E75" s="2"/>
      <c r="F75" s="38" t="s">
        <v>65</v>
      </c>
      <c r="G75" s="38" t="s">
        <v>1672</v>
      </c>
      <c r="H75" s="38" t="s">
        <v>66</v>
      </c>
      <c r="I75" s="38" t="s">
        <v>5</v>
      </c>
      <c r="J75" s="38">
        <v>925</v>
      </c>
      <c r="K75" s="38" t="s">
        <v>67</v>
      </c>
      <c r="L75" s="48">
        <v>4029751.15</v>
      </c>
      <c r="M75" s="48">
        <v>2029751.15</v>
      </c>
      <c r="N75" s="38" t="s">
        <v>282</v>
      </c>
      <c r="O75" s="7">
        <v>0</v>
      </c>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v>2029751.15</v>
      </c>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46">
        <v>45698</v>
      </c>
      <c r="BQ75" s="2"/>
      <c r="BR75" s="38" t="s">
        <v>1800</v>
      </c>
      <c r="BS75" s="2"/>
      <c r="BT75" s="14">
        <f t="shared" si="3"/>
        <v>2029751.15</v>
      </c>
      <c r="BU75" s="2" t="str">
        <f t="shared" si="4"/>
        <v>OK</v>
      </c>
      <c r="BV75" s="13">
        <f t="shared" si="5"/>
        <v>0</v>
      </c>
    </row>
    <row r="76" spans="1:75" s="9" customFormat="1" ht="101.25" hidden="1" x14ac:dyDescent="0.25">
      <c r="A76" s="38" t="s">
        <v>1553</v>
      </c>
      <c r="B76" s="2" t="s">
        <v>314</v>
      </c>
      <c r="C76" s="38" t="s">
        <v>274</v>
      </c>
      <c r="D76" s="47" t="s">
        <v>315</v>
      </c>
      <c r="E76" s="2"/>
      <c r="F76" s="38" t="s">
        <v>65</v>
      </c>
      <c r="G76" s="38" t="s">
        <v>1672</v>
      </c>
      <c r="H76" s="38" t="s">
        <v>66</v>
      </c>
      <c r="I76" s="38" t="s">
        <v>5</v>
      </c>
      <c r="J76" s="38">
        <v>120</v>
      </c>
      <c r="K76" s="38" t="s">
        <v>67</v>
      </c>
      <c r="L76" s="48">
        <v>644833</v>
      </c>
      <c r="M76" s="48">
        <v>170046.4</v>
      </c>
      <c r="N76" s="38" t="s">
        <v>282</v>
      </c>
      <c r="O76" s="7">
        <v>0</v>
      </c>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v>170046.4</v>
      </c>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46">
        <v>45698</v>
      </c>
      <c r="BQ76" s="2"/>
      <c r="BR76" s="38" t="s">
        <v>1798</v>
      </c>
      <c r="BS76" s="2"/>
      <c r="BT76" s="14">
        <f t="shared" si="3"/>
        <v>170046.4</v>
      </c>
      <c r="BU76" s="2" t="str">
        <f t="shared" si="4"/>
        <v>OK</v>
      </c>
      <c r="BV76" s="13">
        <f t="shared" si="5"/>
        <v>0</v>
      </c>
    </row>
    <row r="77" spans="1:75" s="9" customFormat="1" ht="90" hidden="1" x14ac:dyDescent="0.25">
      <c r="A77" s="2" t="s">
        <v>1563</v>
      </c>
      <c r="B77" s="2" t="s">
        <v>1047</v>
      </c>
      <c r="C77" s="2" t="s">
        <v>1048</v>
      </c>
      <c r="D77" s="12" t="s">
        <v>1049</v>
      </c>
      <c r="E77" s="2"/>
      <c r="F77" s="2" t="s">
        <v>72</v>
      </c>
      <c r="G77" s="2" t="s">
        <v>1683</v>
      </c>
      <c r="H77" s="2" t="s">
        <v>66</v>
      </c>
      <c r="I77" s="2" t="s">
        <v>686</v>
      </c>
      <c r="J77" s="2" t="s">
        <v>1614</v>
      </c>
      <c r="K77" s="2" t="s">
        <v>67</v>
      </c>
      <c r="L77" s="22">
        <v>7720782.9500000002</v>
      </c>
      <c r="M77" s="22">
        <v>7720782.9500000002</v>
      </c>
      <c r="N77" s="2" t="s">
        <v>20</v>
      </c>
      <c r="O77" s="7"/>
      <c r="P77" s="7"/>
      <c r="Q77" s="7"/>
      <c r="R77" s="7"/>
      <c r="S77" s="7"/>
      <c r="T77" s="7"/>
      <c r="U77" s="7"/>
      <c r="V77" s="7"/>
      <c r="W77" s="7"/>
      <c r="X77" s="7"/>
      <c r="Y77" s="7"/>
      <c r="Z77" s="7"/>
      <c r="AA77" s="7"/>
      <c r="AB77" s="7">
        <v>7720782.9500000002</v>
      </c>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8">
        <v>45723</v>
      </c>
      <c r="BQ77" s="2"/>
      <c r="BR77" s="2" t="s">
        <v>1799</v>
      </c>
      <c r="BS77" s="8"/>
      <c r="BT77" s="14">
        <f t="shared" si="3"/>
        <v>7720782.9500000002</v>
      </c>
      <c r="BU77" s="2" t="str">
        <f t="shared" si="4"/>
        <v>OK</v>
      </c>
      <c r="BV77" s="13">
        <f t="shared" si="5"/>
        <v>0</v>
      </c>
    </row>
    <row r="78" spans="1:75" s="9" customFormat="1" ht="45" hidden="1" x14ac:dyDescent="0.25">
      <c r="A78" s="2" t="s">
        <v>1441</v>
      </c>
      <c r="B78" s="2" t="s">
        <v>924</v>
      </c>
      <c r="C78" s="2" t="s">
        <v>681</v>
      </c>
      <c r="D78" s="12" t="s">
        <v>925</v>
      </c>
      <c r="E78" s="2"/>
      <c r="F78" s="2" t="s">
        <v>72</v>
      </c>
      <c r="G78" s="2" t="s">
        <v>1664</v>
      </c>
      <c r="H78" s="2" t="s">
        <v>66</v>
      </c>
      <c r="I78" s="2" t="s">
        <v>1618</v>
      </c>
      <c r="J78" s="2" t="s">
        <v>1618</v>
      </c>
      <c r="K78" s="2" t="s">
        <v>67</v>
      </c>
      <c r="L78" s="22">
        <v>224524</v>
      </c>
      <c r="M78" s="22">
        <v>224524</v>
      </c>
      <c r="N78" s="2" t="s">
        <v>14</v>
      </c>
      <c r="O78" s="7">
        <v>0</v>
      </c>
      <c r="P78" s="7"/>
      <c r="Q78" s="7"/>
      <c r="R78" s="7"/>
      <c r="S78" s="7"/>
      <c r="T78" s="7"/>
      <c r="U78" s="7"/>
      <c r="V78" s="7">
        <v>224524</v>
      </c>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8">
        <v>45748</v>
      </c>
      <c r="BQ78" s="2"/>
      <c r="BR78" s="2" t="s">
        <v>1799</v>
      </c>
      <c r="BS78" s="2"/>
      <c r="BT78" s="14">
        <f t="shared" si="3"/>
        <v>224524</v>
      </c>
      <c r="BU78" s="2" t="str">
        <f t="shared" si="4"/>
        <v>OK</v>
      </c>
      <c r="BV78" s="13">
        <f t="shared" si="5"/>
        <v>0</v>
      </c>
    </row>
    <row r="79" spans="1:75" s="9" customFormat="1" ht="56.25" hidden="1" x14ac:dyDescent="0.25">
      <c r="A79" s="2" t="s">
        <v>1368</v>
      </c>
      <c r="B79" s="2" t="s">
        <v>628</v>
      </c>
      <c r="C79" s="2" t="s">
        <v>379</v>
      </c>
      <c r="D79" s="12" t="s">
        <v>629</v>
      </c>
      <c r="E79" s="2"/>
      <c r="F79" s="2" t="s">
        <v>65</v>
      </c>
      <c r="G79" s="2" t="s">
        <v>1637</v>
      </c>
      <c r="H79" s="2" t="s">
        <v>66</v>
      </c>
      <c r="I79" s="2" t="s">
        <v>5</v>
      </c>
      <c r="J79" s="2">
        <v>1</v>
      </c>
      <c r="K79" s="2" t="s">
        <v>67</v>
      </c>
      <c r="L79" s="22">
        <v>1110000</v>
      </c>
      <c r="M79" s="22">
        <v>222000</v>
      </c>
      <c r="N79" s="2" t="s">
        <v>49</v>
      </c>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f>M79</f>
        <v>222000</v>
      </c>
      <c r="BF79" s="7"/>
      <c r="BG79" s="7"/>
      <c r="BH79" s="7"/>
      <c r="BI79" s="7"/>
      <c r="BJ79" s="7"/>
      <c r="BK79" s="7"/>
      <c r="BL79" s="7"/>
      <c r="BM79" s="7"/>
      <c r="BN79" s="7"/>
      <c r="BO79" s="7"/>
      <c r="BP79" s="8">
        <v>45691</v>
      </c>
      <c r="BQ79" s="2"/>
      <c r="BR79" s="2" t="s">
        <v>1804</v>
      </c>
      <c r="BS79" s="2"/>
      <c r="BT79" s="14">
        <f t="shared" si="3"/>
        <v>222000</v>
      </c>
      <c r="BU79" s="2" t="str">
        <f t="shared" si="4"/>
        <v>OK</v>
      </c>
      <c r="BV79" s="13">
        <f t="shared" si="5"/>
        <v>0</v>
      </c>
    </row>
    <row r="80" spans="1:75" s="9" customFormat="1" ht="56.25" hidden="1" x14ac:dyDescent="0.25">
      <c r="A80" s="2" t="s">
        <v>1304</v>
      </c>
      <c r="B80" s="2" t="s">
        <v>593</v>
      </c>
      <c r="C80" s="2" t="s">
        <v>379</v>
      </c>
      <c r="D80" s="12" t="s">
        <v>594</v>
      </c>
      <c r="E80" s="2"/>
      <c r="F80" s="2" t="s">
        <v>65</v>
      </c>
      <c r="G80" s="2" t="s">
        <v>1637</v>
      </c>
      <c r="H80" s="2" t="s">
        <v>66</v>
      </c>
      <c r="I80" s="2" t="s">
        <v>5</v>
      </c>
      <c r="J80" s="2">
        <v>1</v>
      </c>
      <c r="K80" s="2" t="s">
        <v>384</v>
      </c>
      <c r="L80" s="22">
        <v>2635736.79</v>
      </c>
      <c r="M80" s="22">
        <v>1317868.3999999999</v>
      </c>
      <c r="N80" s="2" t="s">
        <v>398</v>
      </c>
      <c r="O80" s="7"/>
      <c r="P80" s="7">
        <v>1317868.3999999999</v>
      </c>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8">
        <v>45716</v>
      </c>
      <c r="BQ80" s="2"/>
      <c r="BR80" s="2" t="s">
        <v>1804</v>
      </c>
      <c r="BS80" s="8" t="s">
        <v>1738</v>
      </c>
      <c r="BT80" s="14">
        <f t="shared" si="3"/>
        <v>1317868.3999999999</v>
      </c>
      <c r="BU80" s="2" t="str">
        <f t="shared" si="4"/>
        <v>OK</v>
      </c>
      <c r="BV80" s="13">
        <f t="shared" si="5"/>
        <v>0</v>
      </c>
      <c r="BW80" s="4"/>
    </row>
    <row r="81" spans="1:74" s="9" customFormat="1" ht="90" hidden="1" x14ac:dyDescent="0.25">
      <c r="A81" s="2" t="s">
        <v>1422</v>
      </c>
      <c r="B81" s="2" t="s">
        <v>1099</v>
      </c>
      <c r="C81" s="2" t="s">
        <v>681</v>
      </c>
      <c r="D81" s="12" t="s">
        <v>1824</v>
      </c>
      <c r="E81" s="2"/>
      <c r="F81" s="2" t="s">
        <v>72</v>
      </c>
      <c r="G81" s="2" t="s">
        <v>1637</v>
      </c>
      <c r="H81" s="2" t="s">
        <v>66</v>
      </c>
      <c r="I81" s="2" t="s">
        <v>1678</v>
      </c>
      <c r="J81" s="2">
        <v>1</v>
      </c>
      <c r="K81" s="2" t="s">
        <v>67</v>
      </c>
      <c r="L81" s="22">
        <v>564134.76</v>
      </c>
      <c r="M81" s="22">
        <v>564134.76</v>
      </c>
      <c r="N81" s="2" t="s">
        <v>14</v>
      </c>
      <c r="O81" s="7"/>
      <c r="P81" s="7"/>
      <c r="Q81" s="7"/>
      <c r="R81" s="7"/>
      <c r="S81" s="7"/>
      <c r="T81" s="7"/>
      <c r="U81" s="7">
        <v>0</v>
      </c>
      <c r="V81" s="7">
        <v>564134.76</v>
      </c>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8">
        <v>45807</v>
      </c>
      <c r="BQ81" s="15"/>
      <c r="BR81" s="15" t="s">
        <v>1805</v>
      </c>
      <c r="BS81" s="2"/>
      <c r="BT81" s="14">
        <f t="shared" si="3"/>
        <v>564134.76</v>
      </c>
      <c r="BU81" s="2" t="str">
        <f t="shared" si="4"/>
        <v>OK</v>
      </c>
      <c r="BV81" s="13">
        <f t="shared" si="5"/>
        <v>0</v>
      </c>
    </row>
    <row r="82" spans="1:74" s="9" customFormat="1" ht="56.25" hidden="1" x14ac:dyDescent="0.25">
      <c r="A82" s="2" t="s">
        <v>1451</v>
      </c>
      <c r="B82" s="2" t="s">
        <v>1108</v>
      </c>
      <c r="C82" s="2" t="s">
        <v>681</v>
      </c>
      <c r="D82" s="12" t="s">
        <v>1109</v>
      </c>
      <c r="E82" s="2"/>
      <c r="F82" s="2" t="s">
        <v>72</v>
      </c>
      <c r="G82" s="2" t="s">
        <v>1637</v>
      </c>
      <c r="H82" s="2" t="s">
        <v>66</v>
      </c>
      <c r="I82" s="2" t="s">
        <v>5</v>
      </c>
      <c r="J82" s="2">
        <v>1</v>
      </c>
      <c r="K82" s="2" t="s">
        <v>67</v>
      </c>
      <c r="L82" s="22">
        <v>132000</v>
      </c>
      <c r="M82" s="22">
        <v>132000</v>
      </c>
      <c r="N82" s="2" t="s">
        <v>14</v>
      </c>
      <c r="O82" s="7">
        <v>0</v>
      </c>
      <c r="P82" s="7"/>
      <c r="Q82" s="7"/>
      <c r="R82" s="7"/>
      <c r="S82" s="7"/>
      <c r="T82" s="7"/>
      <c r="U82" s="7"/>
      <c r="V82" s="7">
        <v>132000</v>
      </c>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8">
        <v>45807</v>
      </c>
      <c r="BQ82" s="15"/>
      <c r="BR82" s="15" t="s">
        <v>1805</v>
      </c>
      <c r="BS82" s="2"/>
      <c r="BT82" s="14">
        <f t="shared" si="3"/>
        <v>132000</v>
      </c>
      <c r="BU82" s="2" t="str">
        <f t="shared" si="4"/>
        <v>OK</v>
      </c>
      <c r="BV82" s="13">
        <f t="shared" si="5"/>
        <v>0</v>
      </c>
    </row>
    <row r="83" spans="1:74" s="9" customFormat="1" ht="56.25" hidden="1" x14ac:dyDescent="0.25">
      <c r="A83" s="2" t="s">
        <v>1266</v>
      </c>
      <c r="B83" s="2" t="s">
        <v>1118</v>
      </c>
      <c r="C83" s="2" t="s">
        <v>379</v>
      </c>
      <c r="D83" s="12" t="s">
        <v>1825</v>
      </c>
      <c r="E83" s="2"/>
      <c r="F83" s="2" t="s">
        <v>65</v>
      </c>
      <c r="G83" s="2" t="s">
        <v>1637</v>
      </c>
      <c r="H83" s="2" t="s">
        <v>66</v>
      </c>
      <c r="I83" s="2" t="s">
        <v>5</v>
      </c>
      <c r="J83" s="2">
        <v>1</v>
      </c>
      <c r="K83" s="2" t="s">
        <v>384</v>
      </c>
      <c r="L83" s="22">
        <v>6720400</v>
      </c>
      <c r="M83" s="22">
        <v>1000000</v>
      </c>
      <c r="N83" s="2" t="s">
        <v>49</v>
      </c>
      <c r="O83" s="7"/>
      <c r="P83" s="7"/>
      <c r="Q83" s="7"/>
      <c r="R83" s="7"/>
      <c r="S83" s="7"/>
      <c r="T83" s="7"/>
      <c r="U83" s="7"/>
      <c r="V83" s="7"/>
      <c r="W83" s="7"/>
      <c r="X83" s="7"/>
      <c r="Y83" s="7"/>
      <c r="Z83" s="7"/>
      <c r="AA83" s="7"/>
      <c r="AB83" s="7"/>
      <c r="AC83" s="7"/>
      <c r="AD83" s="7"/>
      <c r="AE83" s="7"/>
      <c r="AF83" s="7"/>
      <c r="AG83" s="7"/>
      <c r="AH83" s="7"/>
      <c r="AI83" s="7"/>
      <c r="AJ83" s="7">
        <v>1000000</v>
      </c>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v>0</v>
      </c>
      <c r="BP83" s="8">
        <v>45838</v>
      </c>
      <c r="BQ83" s="2"/>
      <c r="BR83" s="2" t="s">
        <v>1804</v>
      </c>
      <c r="BS83" s="2"/>
      <c r="BT83" s="14">
        <f t="shared" si="3"/>
        <v>1000000</v>
      </c>
      <c r="BU83" s="2" t="str">
        <f t="shared" si="4"/>
        <v>OK</v>
      </c>
      <c r="BV83" s="13">
        <f t="shared" si="5"/>
        <v>0</v>
      </c>
    </row>
    <row r="84" spans="1:74" s="9" customFormat="1" ht="101.25" hidden="1" x14ac:dyDescent="0.25">
      <c r="A84" s="2" t="s">
        <v>1303</v>
      </c>
      <c r="B84" s="2" t="s">
        <v>636</v>
      </c>
      <c r="C84" s="2" t="s">
        <v>379</v>
      </c>
      <c r="D84" s="12" t="s">
        <v>637</v>
      </c>
      <c r="E84" s="2"/>
      <c r="F84" s="2" t="s">
        <v>65</v>
      </c>
      <c r="G84" s="2" t="s">
        <v>1637</v>
      </c>
      <c r="H84" s="2" t="s">
        <v>66</v>
      </c>
      <c r="I84" s="2" t="s">
        <v>5</v>
      </c>
      <c r="J84" s="2">
        <v>1</v>
      </c>
      <c r="K84" s="2" t="s">
        <v>384</v>
      </c>
      <c r="L84" s="22">
        <v>1463104.22</v>
      </c>
      <c r="M84" s="22">
        <v>500000</v>
      </c>
      <c r="N84" s="2" t="s">
        <v>381</v>
      </c>
      <c r="O84" s="7"/>
      <c r="P84" s="7">
        <v>500000</v>
      </c>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8">
        <v>45838</v>
      </c>
      <c r="BQ84" s="2"/>
      <c r="BR84" s="2" t="s">
        <v>1804</v>
      </c>
      <c r="BS84" s="2"/>
      <c r="BT84" s="14">
        <f t="shared" si="3"/>
        <v>500000</v>
      </c>
      <c r="BU84" s="2" t="str">
        <f t="shared" si="4"/>
        <v>OK</v>
      </c>
      <c r="BV84" s="13">
        <f t="shared" si="5"/>
        <v>0</v>
      </c>
    </row>
    <row r="85" spans="1:74" s="9" customFormat="1" ht="67.5" hidden="1" x14ac:dyDescent="0.25">
      <c r="A85" s="2" t="s">
        <v>1364</v>
      </c>
      <c r="B85" s="2" t="s">
        <v>641</v>
      </c>
      <c r="C85" s="2" t="s">
        <v>379</v>
      </c>
      <c r="D85" s="12" t="s">
        <v>1826</v>
      </c>
      <c r="E85" s="2"/>
      <c r="F85" s="2" t="s">
        <v>65</v>
      </c>
      <c r="G85" s="2" t="s">
        <v>1637</v>
      </c>
      <c r="H85" s="2" t="s">
        <v>66</v>
      </c>
      <c r="I85" s="2" t="s">
        <v>5</v>
      </c>
      <c r="J85" s="2">
        <v>1</v>
      </c>
      <c r="K85" s="2" t="s">
        <v>67</v>
      </c>
      <c r="L85" s="22">
        <v>2163105</v>
      </c>
      <c r="M85" s="22">
        <v>432621</v>
      </c>
      <c r="N85" s="2" t="s">
        <v>49</v>
      </c>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f>M85</f>
        <v>432621</v>
      </c>
      <c r="BF85" s="7"/>
      <c r="BG85" s="7"/>
      <c r="BH85" s="7"/>
      <c r="BI85" s="7"/>
      <c r="BJ85" s="7"/>
      <c r="BK85" s="7"/>
      <c r="BL85" s="7"/>
      <c r="BM85" s="7"/>
      <c r="BN85" s="7"/>
      <c r="BO85" s="7"/>
      <c r="BP85" s="8">
        <v>45838</v>
      </c>
      <c r="BQ85" s="2"/>
      <c r="BR85" s="2" t="s">
        <v>1804</v>
      </c>
      <c r="BS85" s="2"/>
      <c r="BT85" s="14">
        <f t="shared" si="3"/>
        <v>432621</v>
      </c>
      <c r="BU85" s="2" t="str">
        <f t="shared" si="4"/>
        <v>OK</v>
      </c>
      <c r="BV85" s="13">
        <f t="shared" si="5"/>
        <v>0</v>
      </c>
    </row>
    <row r="86" spans="1:74" s="9" customFormat="1" ht="90" hidden="1" x14ac:dyDescent="0.25">
      <c r="A86" s="2" t="s">
        <v>1263</v>
      </c>
      <c r="B86" s="2" t="s">
        <v>595</v>
      </c>
      <c r="C86" s="2" t="s">
        <v>379</v>
      </c>
      <c r="D86" s="12" t="s">
        <v>596</v>
      </c>
      <c r="E86" s="2"/>
      <c r="F86" s="2" t="s">
        <v>65</v>
      </c>
      <c r="G86" s="2" t="s">
        <v>1637</v>
      </c>
      <c r="H86" s="2" t="s">
        <v>66</v>
      </c>
      <c r="I86" s="2" t="s">
        <v>5</v>
      </c>
      <c r="J86" s="2">
        <v>1</v>
      </c>
      <c r="K86" s="2" t="s">
        <v>67</v>
      </c>
      <c r="L86" s="22">
        <v>860663.16</v>
      </c>
      <c r="M86" s="22">
        <v>860663.16</v>
      </c>
      <c r="N86" s="2" t="s">
        <v>1138</v>
      </c>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v>860663.16</v>
      </c>
      <c r="BF86" s="7"/>
      <c r="BG86" s="7"/>
      <c r="BH86" s="7"/>
      <c r="BI86" s="7"/>
      <c r="BJ86" s="7"/>
      <c r="BK86" s="7"/>
      <c r="BL86" s="7"/>
      <c r="BM86" s="7"/>
      <c r="BN86" s="7"/>
      <c r="BO86" s="7"/>
      <c r="BP86" s="8">
        <v>45839</v>
      </c>
      <c r="BQ86" s="2"/>
      <c r="BR86" s="2" t="s">
        <v>1804</v>
      </c>
      <c r="BS86" s="2"/>
      <c r="BT86" s="14">
        <f t="shared" si="3"/>
        <v>860663.16</v>
      </c>
      <c r="BU86" s="2" t="str">
        <f t="shared" si="4"/>
        <v>OK</v>
      </c>
      <c r="BV86" s="13">
        <f t="shared" si="5"/>
        <v>0</v>
      </c>
    </row>
    <row r="87" spans="1:74" s="9" customFormat="1" ht="101.25" hidden="1" x14ac:dyDescent="0.25">
      <c r="A87" s="24" t="s">
        <v>1278</v>
      </c>
      <c r="B87" s="24" t="s">
        <v>493</v>
      </c>
      <c r="C87" s="24" t="s">
        <v>379</v>
      </c>
      <c r="D87" s="69" t="s">
        <v>494</v>
      </c>
      <c r="E87" s="2"/>
      <c r="F87" s="24" t="s">
        <v>65</v>
      </c>
      <c r="G87" s="24" t="s">
        <v>1637</v>
      </c>
      <c r="H87" s="24" t="s">
        <v>66</v>
      </c>
      <c r="I87" s="24" t="s">
        <v>5</v>
      </c>
      <c r="J87" s="24">
        <v>1</v>
      </c>
      <c r="K87" s="24" t="s">
        <v>384</v>
      </c>
      <c r="L87" s="70">
        <v>3500000</v>
      </c>
      <c r="M87" s="70">
        <v>500000</v>
      </c>
      <c r="N87" s="24" t="s">
        <v>381</v>
      </c>
      <c r="O87" s="7"/>
      <c r="P87" s="7">
        <v>500000</v>
      </c>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8">
        <v>45898</v>
      </c>
      <c r="BQ87" s="24"/>
      <c r="BR87" s="2" t="s">
        <v>1804</v>
      </c>
      <c r="BS87" s="24"/>
      <c r="BT87" s="14">
        <f t="shared" si="3"/>
        <v>500000</v>
      </c>
      <c r="BU87" s="2" t="str">
        <f t="shared" si="4"/>
        <v>OK</v>
      </c>
      <c r="BV87" s="13">
        <f t="shared" si="5"/>
        <v>0</v>
      </c>
    </row>
    <row r="88" spans="1:74" s="9" customFormat="1" ht="67.5" x14ac:dyDescent="0.25">
      <c r="A88" s="2" t="s">
        <v>1429</v>
      </c>
      <c r="B88" s="2" t="s">
        <v>904</v>
      </c>
      <c r="C88" s="2" t="s">
        <v>681</v>
      </c>
      <c r="D88" s="12" t="s">
        <v>1861</v>
      </c>
      <c r="E88" s="12" t="s">
        <v>906</v>
      </c>
      <c r="F88" s="2" t="s">
        <v>65</v>
      </c>
      <c r="G88" s="2" t="s">
        <v>2025</v>
      </c>
      <c r="H88" s="2" t="s">
        <v>294</v>
      </c>
      <c r="I88" s="2" t="s">
        <v>5</v>
      </c>
      <c r="J88" s="2">
        <v>1</v>
      </c>
      <c r="K88" s="2" t="s">
        <v>67</v>
      </c>
      <c r="L88" s="22">
        <v>444157.7</v>
      </c>
      <c r="M88" s="22">
        <v>444157.7</v>
      </c>
      <c r="N88" s="2" t="s">
        <v>14</v>
      </c>
      <c r="O88" s="7"/>
      <c r="P88" s="7"/>
      <c r="Q88" s="7"/>
      <c r="R88" s="7"/>
      <c r="S88" s="7"/>
      <c r="T88" s="7"/>
      <c r="U88" s="7"/>
      <c r="V88" s="7">
        <v>444157.7</v>
      </c>
      <c r="W88" s="7">
        <v>0</v>
      </c>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8"/>
      <c r="BQ88" s="8">
        <v>45793</v>
      </c>
      <c r="BR88" s="2"/>
      <c r="BS88" s="2" t="s">
        <v>1780</v>
      </c>
      <c r="BT88" s="14">
        <f t="shared" si="3"/>
        <v>444157.7</v>
      </c>
      <c r="BU88" s="2" t="str">
        <f t="shared" si="4"/>
        <v>OK</v>
      </c>
      <c r="BV88" s="13">
        <f t="shared" si="5"/>
        <v>0</v>
      </c>
    </row>
    <row r="89" spans="1:74" s="9" customFormat="1" ht="90" x14ac:dyDescent="0.25">
      <c r="A89" s="2" t="s">
        <v>1397</v>
      </c>
      <c r="B89" s="2" t="s">
        <v>945</v>
      </c>
      <c r="C89" s="2" t="s">
        <v>681</v>
      </c>
      <c r="D89" s="12" t="s">
        <v>946</v>
      </c>
      <c r="E89" s="12" t="s">
        <v>947</v>
      </c>
      <c r="F89" s="2" t="s">
        <v>72</v>
      </c>
      <c r="G89" s="2" t="s">
        <v>2025</v>
      </c>
      <c r="H89" s="2" t="s">
        <v>294</v>
      </c>
      <c r="I89" s="2" t="s">
        <v>5</v>
      </c>
      <c r="J89" s="2" t="s">
        <v>1675</v>
      </c>
      <c r="K89" s="2" t="s">
        <v>67</v>
      </c>
      <c r="L89" s="22">
        <v>1029731.09</v>
      </c>
      <c r="M89" s="22">
        <v>1029731.09</v>
      </c>
      <c r="N89" s="2" t="s">
        <v>1141</v>
      </c>
      <c r="O89" s="7">
        <v>0</v>
      </c>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v>648730.57999999996</v>
      </c>
      <c r="BE89" s="7">
        <v>381000.51</v>
      </c>
      <c r="BF89" s="7"/>
      <c r="BG89" s="7"/>
      <c r="BH89" s="7"/>
      <c r="BI89" s="7"/>
      <c r="BJ89" s="7"/>
      <c r="BK89" s="7"/>
      <c r="BL89" s="7"/>
      <c r="BM89" s="7"/>
      <c r="BN89" s="7"/>
      <c r="BO89" s="7"/>
      <c r="BP89" s="8"/>
      <c r="BQ89" s="8">
        <v>45835</v>
      </c>
      <c r="BR89" s="2"/>
      <c r="BS89" s="2" t="s">
        <v>1780</v>
      </c>
      <c r="BT89" s="14">
        <f t="shared" si="3"/>
        <v>1029731.09</v>
      </c>
      <c r="BU89" s="2" t="str">
        <f t="shared" si="4"/>
        <v>OK</v>
      </c>
      <c r="BV89" s="13">
        <f t="shared" si="5"/>
        <v>0</v>
      </c>
    </row>
    <row r="90" spans="1:74" s="9" customFormat="1" ht="101.25" hidden="1" x14ac:dyDescent="0.25">
      <c r="A90" s="24" t="s">
        <v>1270</v>
      </c>
      <c r="B90" s="24" t="s">
        <v>509</v>
      </c>
      <c r="C90" s="24" t="s">
        <v>379</v>
      </c>
      <c r="D90" s="69" t="s">
        <v>510</v>
      </c>
      <c r="E90" s="2"/>
      <c r="F90" s="24" t="s">
        <v>65</v>
      </c>
      <c r="G90" s="24" t="s">
        <v>1637</v>
      </c>
      <c r="H90" s="24" t="s">
        <v>66</v>
      </c>
      <c r="I90" s="24" t="s">
        <v>5</v>
      </c>
      <c r="J90" s="24">
        <v>1</v>
      </c>
      <c r="K90" s="24" t="s">
        <v>384</v>
      </c>
      <c r="L90" s="70">
        <v>5826270</v>
      </c>
      <c r="M90" s="70">
        <v>500000</v>
      </c>
      <c r="N90" s="24" t="s">
        <v>381</v>
      </c>
      <c r="O90" s="7"/>
      <c r="P90" s="7">
        <v>500000</v>
      </c>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8">
        <v>45992</v>
      </c>
      <c r="BQ90" s="24"/>
      <c r="BR90" s="2" t="s">
        <v>1804</v>
      </c>
      <c r="BS90" s="24" t="s">
        <v>1703</v>
      </c>
      <c r="BT90" s="14">
        <f t="shared" si="3"/>
        <v>500000</v>
      </c>
      <c r="BU90" s="2" t="str">
        <f t="shared" si="4"/>
        <v>OK</v>
      </c>
      <c r="BV90" s="13">
        <f t="shared" si="5"/>
        <v>0</v>
      </c>
    </row>
    <row r="91" spans="1:74" s="9" customFormat="1" ht="107.25" customHeight="1" x14ac:dyDescent="0.25">
      <c r="A91" s="2" t="s">
        <v>1430</v>
      </c>
      <c r="B91" s="2" t="s">
        <v>907</v>
      </c>
      <c r="C91" s="2" t="s">
        <v>681</v>
      </c>
      <c r="D91" s="12" t="s">
        <v>1862</v>
      </c>
      <c r="E91" s="12" t="s">
        <v>909</v>
      </c>
      <c r="F91" s="2" t="s">
        <v>65</v>
      </c>
      <c r="G91" s="2" t="s">
        <v>2025</v>
      </c>
      <c r="H91" s="2" t="s">
        <v>294</v>
      </c>
      <c r="I91" s="2" t="s">
        <v>5</v>
      </c>
      <c r="J91" s="2" t="s">
        <v>1675</v>
      </c>
      <c r="K91" s="2" t="s">
        <v>67</v>
      </c>
      <c r="L91" s="22">
        <v>424336.82</v>
      </c>
      <c r="M91" s="22">
        <v>424336.82</v>
      </c>
      <c r="N91" s="2" t="s">
        <v>1143</v>
      </c>
      <c r="O91" s="7"/>
      <c r="P91" s="7"/>
      <c r="Q91" s="7"/>
      <c r="R91" s="7"/>
      <c r="S91" s="7"/>
      <c r="T91" s="7"/>
      <c r="U91" s="7"/>
      <c r="V91" s="7"/>
      <c r="W91" s="7">
        <v>0</v>
      </c>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v>190951.57</v>
      </c>
      <c r="BE91" s="7">
        <v>233385.25</v>
      </c>
      <c r="BF91" s="7"/>
      <c r="BG91" s="7"/>
      <c r="BH91" s="7"/>
      <c r="BI91" s="7"/>
      <c r="BJ91" s="7"/>
      <c r="BK91" s="7"/>
      <c r="BL91" s="7"/>
      <c r="BM91" s="7"/>
      <c r="BN91" s="7"/>
      <c r="BO91" s="7"/>
      <c r="BP91" s="8"/>
      <c r="BQ91" s="8">
        <v>45846</v>
      </c>
      <c r="BR91" s="2"/>
      <c r="BS91" s="2" t="s">
        <v>1780</v>
      </c>
      <c r="BT91" s="14">
        <f t="shared" si="3"/>
        <v>424336.82</v>
      </c>
      <c r="BU91" s="2" t="str">
        <f t="shared" si="4"/>
        <v>OK</v>
      </c>
      <c r="BV91" s="13">
        <f t="shared" si="5"/>
        <v>0</v>
      </c>
    </row>
    <row r="92" spans="1:74" s="9" customFormat="1" ht="96" customHeight="1" x14ac:dyDescent="0.25">
      <c r="A92" s="2" t="s">
        <v>1433</v>
      </c>
      <c r="B92" s="2" t="s">
        <v>921</v>
      </c>
      <c r="C92" s="2" t="s">
        <v>681</v>
      </c>
      <c r="D92" s="12" t="s">
        <v>922</v>
      </c>
      <c r="E92" s="12" t="s">
        <v>923</v>
      </c>
      <c r="F92" s="2" t="s">
        <v>65</v>
      </c>
      <c r="G92" s="2" t="s">
        <v>2025</v>
      </c>
      <c r="H92" s="2" t="s">
        <v>294</v>
      </c>
      <c r="I92" s="2" t="s">
        <v>5</v>
      </c>
      <c r="J92" s="2" t="s">
        <v>1675</v>
      </c>
      <c r="K92" s="2" t="s">
        <v>67</v>
      </c>
      <c r="L92" s="22">
        <v>356420.54</v>
      </c>
      <c r="M92" s="22">
        <v>356420.54</v>
      </c>
      <c r="N92" s="2" t="s">
        <v>903</v>
      </c>
      <c r="O92" s="7">
        <v>0</v>
      </c>
      <c r="P92" s="7"/>
      <c r="Q92" s="7"/>
      <c r="R92" s="7"/>
      <c r="S92" s="7"/>
      <c r="T92" s="7"/>
      <c r="U92" s="7"/>
      <c r="V92" s="7">
        <f>M92</f>
        <v>356420.54</v>
      </c>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8"/>
      <c r="BQ92" s="8">
        <v>45877</v>
      </c>
      <c r="BR92" s="2"/>
      <c r="BS92" s="2" t="s">
        <v>1780</v>
      </c>
      <c r="BT92" s="14">
        <f t="shared" si="3"/>
        <v>356420.54</v>
      </c>
      <c r="BU92" s="2" t="str">
        <f t="shared" si="4"/>
        <v>OK</v>
      </c>
      <c r="BV92" s="13">
        <f t="shared" si="5"/>
        <v>0</v>
      </c>
    </row>
    <row r="93" spans="1:74" s="9" customFormat="1" ht="45" x14ac:dyDescent="0.25">
      <c r="A93" s="2" t="s">
        <v>1446</v>
      </c>
      <c r="B93" s="2" t="s">
        <v>952</v>
      </c>
      <c r="C93" s="2" t="s">
        <v>681</v>
      </c>
      <c r="D93" s="12" t="s">
        <v>1863</v>
      </c>
      <c r="E93" s="12" t="s">
        <v>954</v>
      </c>
      <c r="F93" s="2" t="s">
        <v>65</v>
      </c>
      <c r="G93" s="2" t="s">
        <v>2025</v>
      </c>
      <c r="H93" s="2" t="s">
        <v>294</v>
      </c>
      <c r="I93" s="2" t="s">
        <v>5</v>
      </c>
      <c r="J93" s="2">
        <v>1</v>
      </c>
      <c r="K93" s="2" t="s">
        <v>67</v>
      </c>
      <c r="L93" s="22">
        <v>169389</v>
      </c>
      <c r="M93" s="22">
        <v>169389</v>
      </c>
      <c r="N93" s="2" t="s">
        <v>14</v>
      </c>
      <c r="O93" s="7">
        <v>0</v>
      </c>
      <c r="P93" s="7"/>
      <c r="Q93" s="7"/>
      <c r="R93" s="7"/>
      <c r="S93" s="7"/>
      <c r="T93" s="7"/>
      <c r="U93" s="7"/>
      <c r="V93" s="7">
        <v>169389</v>
      </c>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8"/>
      <c r="BQ93" s="8">
        <v>45929</v>
      </c>
      <c r="BR93" s="2"/>
      <c r="BS93" s="2" t="s">
        <v>1780</v>
      </c>
      <c r="BT93" s="14">
        <f t="shared" si="3"/>
        <v>169389</v>
      </c>
      <c r="BU93" s="2" t="str">
        <f t="shared" si="4"/>
        <v>OK</v>
      </c>
      <c r="BV93" s="13">
        <f t="shared" si="5"/>
        <v>0</v>
      </c>
    </row>
    <row r="94" spans="1:74" s="9" customFormat="1" ht="56.25" x14ac:dyDescent="0.25">
      <c r="A94" s="2" t="s">
        <v>1460</v>
      </c>
      <c r="B94" s="2" t="s">
        <v>1007</v>
      </c>
      <c r="C94" s="2" t="s">
        <v>681</v>
      </c>
      <c r="D94" s="12" t="s">
        <v>1864</v>
      </c>
      <c r="E94" s="12" t="s">
        <v>1009</v>
      </c>
      <c r="F94" s="2" t="s">
        <v>65</v>
      </c>
      <c r="G94" s="2" t="s">
        <v>2025</v>
      </c>
      <c r="H94" s="2" t="s">
        <v>294</v>
      </c>
      <c r="I94" s="2" t="s">
        <v>5</v>
      </c>
      <c r="J94" s="2">
        <v>1</v>
      </c>
      <c r="K94" s="2" t="s">
        <v>67</v>
      </c>
      <c r="L94" s="22">
        <v>102487.92</v>
      </c>
      <c r="M94" s="22">
        <v>102487.92</v>
      </c>
      <c r="N94" s="2" t="s">
        <v>14</v>
      </c>
      <c r="O94" s="7">
        <v>0</v>
      </c>
      <c r="P94" s="7"/>
      <c r="Q94" s="7"/>
      <c r="R94" s="7"/>
      <c r="S94" s="7"/>
      <c r="T94" s="7"/>
      <c r="U94" s="7"/>
      <c r="V94" s="7">
        <f>M94</f>
        <v>102487.92</v>
      </c>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8"/>
      <c r="BQ94" s="8">
        <v>45999</v>
      </c>
      <c r="BR94" s="2"/>
      <c r="BS94" s="2" t="s">
        <v>1780</v>
      </c>
      <c r="BT94" s="14">
        <f t="shared" si="3"/>
        <v>102487.92</v>
      </c>
      <c r="BU94" s="2" t="str">
        <f t="shared" si="4"/>
        <v>OK</v>
      </c>
      <c r="BV94" s="13">
        <f t="shared" si="5"/>
        <v>0</v>
      </c>
    </row>
    <row r="95" spans="1:74" s="9" customFormat="1" ht="67.5" x14ac:dyDescent="0.25">
      <c r="A95" s="2" t="s">
        <v>1444</v>
      </c>
      <c r="B95" s="2" t="s">
        <v>935</v>
      </c>
      <c r="C95" s="2" t="s">
        <v>681</v>
      </c>
      <c r="D95" s="12" t="s">
        <v>936</v>
      </c>
      <c r="E95" s="12" t="s">
        <v>937</v>
      </c>
      <c r="F95" s="2" t="s">
        <v>65</v>
      </c>
      <c r="G95" s="2" t="s">
        <v>2025</v>
      </c>
      <c r="H95" s="2" t="s">
        <v>294</v>
      </c>
      <c r="I95" s="2" t="s">
        <v>5</v>
      </c>
      <c r="J95" s="2">
        <v>1</v>
      </c>
      <c r="K95" s="2" t="s">
        <v>67</v>
      </c>
      <c r="L95" s="22">
        <v>204887.49</v>
      </c>
      <c r="M95" s="22">
        <v>204887.49</v>
      </c>
      <c r="N95" s="2" t="s">
        <v>49</v>
      </c>
      <c r="O95" s="7">
        <v>0</v>
      </c>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f>M95</f>
        <v>204887.49</v>
      </c>
      <c r="BF95" s="7"/>
      <c r="BG95" s="7"/>
      <c r="BH95" s="7"/>
      <c r="BI95" s="7"/>
      <c r="BJ95" s="7"/>
      <c r="BK95" s="7"/>
      <c r="BL95" s="7"/>
      <c r="BM95" s="7"/>
      <c r="BN95" s="7"/>
      <c r="BO95" s="7"/>
      <c r="BP95" s="8"/>
      <c r="BQ95" s="8">
        <v>46180</v>
      </c>
      <c r="BR95" s="2"/>
      <c r="BS95" s="2" t="s">
        <v>1780</v>
      </c>
      <c r="BT95" s="14">
        <f t="shared" si="3"/>
        <v>204887.49</v>
      </c>
      <c r="BU95" s="2" t="str">
        <f t="shared" si="4"/>
        <v>OK</v>
      </c>
      <c r="BV95" s="13">
        <f t="shared" si="5"/>
        <v>0</v>
      </c>
    </row>
    <row r="96" spans="1:74" s="9" customFormat="1" ht="45" x14ac:dyDescent="0.25">
      <c r="A96" s="2" t="s">
        <v>1439</v>
      </c>
      <c r="B96" s="2" t="s">
        <v>964</v>
      </c>
      <c r="C96" s="2" t="s">
        <v>681</v>
      </c>
      <c r="D96" s="12" t="s">
        <v>1865</v>
      </c>
      <c r="E96" s="12" t="s">
        <v>966</v>
      </c>
      <c r="F96" s="2" t="s">
        <v>65</v>
      </c>
      <c r="G96" s="2" t="s">
        <v>2025</v>
      </c>
      <c r="H96" s="2" t="s">
        <v>294</v>
      </c>
      <c r="I96" s="2" t="s">
        <v>5</v>
      </c>
      <c r="J96" s="2">
        <v>1</v>
      </c>
      <c r="K96" s="2" t="s">
        <v>67</v>
      </c>
      <c r="L96" s="22">
        <v>244528.74</v>
      </c>
      <c r="M96" s="22">
        <v>244528.74</v>
      </c>
      <c r="N96" s="2" t="s">
        <v>14</v>
      </c>
      <c r="O96" s="7">
        <v>0</v>
      </c>
      <c r="P96" s="7"/>
      <c r="Q96" s="7"/>
      <c r="R96" s="7"/>
      <c r="S96" s="7"/>
      <c r="T96" s="7"/>
      <c r="U96" s="7"/>
      <c r="V96" s="7">
        <v>244528.74</v>
      </c>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8"/>
      <c r="BQ96" s="8">
        <v>46403</v>
      </c>
      <c r="BR96" s="2"/>
      <c r="BS96" s="2" t="s">
        <v>1780</v>
      </c>
      <c r="BT96" s="14">
        <f t="shared" si="3"/>
        <v>244528.74</v>
      </c>
      <c r="BU96" s="2" t="str">
        <f t="shared" si="4"/>
        <v>OK</v>
      </c>
      <c r="BV96" s="13">
        <f t="shared" si="5"/>
        <v>0</v>
      </c>
    </row>
    <row r="97" spans="1:74" s="9" customFormat="1" ht="123.75" customHeight="1" x14ac:dyDescent="0.25">
      <c r="A97" s="2" t="s">
        <v>1487</v>
      </c>
      <c r="B97" s="2" t="s">
        <v>848</v>
      </c>
      <c r="C97" s="2" t="s">
        <v>681</v>
      </c>
      <c r="D97" s="12" t="s">
        <v>849</v>
      </c>
      <c r="E97" s="2"/>
      <c r="F97" s="2" t="s">
        <v>65</v>
      </c>
      <c r="G97" s="2" t="s">
        <v>1633</v>
      </c>
      <c r="H97" s="2" t="s">
        <v>77</v>
      </c>
      <c r="I97" s="2" t="s">
        <v>686</v>
      </c>
      <c r="J97" s="2" t="s">
        <v>1618</v>
      </c>
      <c r="K97" s="2" t="s">
        <v>67</v>
      </c>
      <c r="L97" s="16">
        <v>33825.75</v>
      </c>
      <c r="M97" s="11">
        <v>33825.75</v>
      </c>
      <c r="N97" s="2" t="s">
        <v>1140</v>
      </c>
      <c r="O97" s="7">
        <v>0</v>
      </c>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v>22324.99</v>
      </c>
      <c r="BE97" s="7">
        <v>11500.76</v>
      </c>
      <c r="BF97" s="7"/>
      <c r="BG97" s="7"/>
      <c r="BH97" s="7"/>
      <c r="BI97" s="7"/>
      <c r="BJ97" s="7"/>
      <c r="BK97" s="7"/>
      <c r="BL97" s="7"/>
      <c r="BM97" s="7"/>
      <c r="BN97" s="7"/>
      <c r="BO97" s="7"/>
      <c r="BP97" s="2"/>
      <c r="BQ97" s="8">
        <v>46022</v>
      </c>
      <c r="BR97" s="8"/>
      <c r="BS97" s="2" t="s">
        <v>1745</v>
      </c>
      <c r="BT97" s="14">
        <f t="shared" si="3"/>
        <v>33825.75</v>
      </c>
      <c r="BU97" s="2" t="str">
        <f t="shared" si="4"/>
        <v>OK</v>
      </c>
      <c r="BV97" s="13">
        <f t="shared" si="5"/>
        <v>0</v>
      </c>
    </row>
    <row r="98" spans="1:74" s="9" customFormat="1" ht="78.75" x14ac:dyDescent="0.25">
      <c r="A98" s="64" t="s">
        <v>1522</v>
      </c>
      <c r="B98" s="2" t="s">
        <v>932</v>
      </c>
      <c r="C98" s="64" t="s">
        <v>681</v>
      </c>
      <c r="D98" s="65" t="s">
        <v>1850</v>
      </c>
      <c r="E98" s="12" t="s">
        <v>1785</v>
      </c>
      <c r="F98" s="64" t="s">
        <v>72</v>
      </c>
      <c r="G98" s="64" t="s">
        <v>1680</v>
      </c>
      <c r="H98" s="64" t="s">
        <v>294</v>
      </c>
      <c r="I98" s="64" t="s">
        <v>686</v>
      </c>
      <c r="J98" s="64" t="s">
        <v>1618</v>
      </c>
      <c r="K98" s="64" t="s">
        <v>67</v>
      </c>
      <c r="L98" s="66">
        <v>8150.9</v>
      </c>
      <c r="M98" s="66">
        <f>8150.9-3014.87</f>
        <v>5136.03</v>
      </c>
      <c r="N98" s="64" t="s">
        <v>14</v>
      </c>
      <c r="O98" s="7">
        <v>0</v>
      </c>
      <c r="P98" s="7"/>
      <c r="Q98" s="7"/>
      <c r="R98" s="7"/>
      <c r="S98" s="7"/>
      <c r="T98" s="7"/>
      <c r="U98" s="7"/>
      <c r="V98" s="7">
        <v>8150.9</v>
      </c>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8"/>
      <c r="BQ98" s="67">
        <v>45851</v>
      </c>
      <c r="BR98" s="2"/>
      <c r="BS98" s="64" t="s">
        <v>1782</v>
      </c>
      <c r="BT98" s="14">
        <f t="shared" si="3"/>
        <v>8150.9</v>
      </c>
      <c r="BU98" s="2" t="str">
        <f t="shared" si="4"/>
        <v>CORRIGIR</v>
      </c>
      <c r="BV98" s="13">
        <f t="shared" si="5"/>
        <v>-3014.87</v>
      </c>
    </row>
    <row r="99" spans="1:74" s="9" customFormat="1" ht="123.75" customHeight="1" x14ac:dyDescent="0.25">
      <c r="A99" s="2" t="s">
        <v>1378</v>
      </c>
      <c r="B99" s="2" t="s">
        <v>412</v>
      </c>
      <c r="C99" s="2" t="s">
        <v>379</v>
      </c>
      <c r="D99" s="12" t="s">
        <v>413</v>
      </c>
      <c r="E99" s="2" t="s">
        <v>414</v>
      </c>
      <c r="F99" s="2" t="s">
        <v>72</v>
      </c>
      <c r="G99" s="2" t="s">
        <v>1668</v>
      </c>
      <c r="H99" s="2" t="s">
        <v>77</v>
      </c>
      <c r="I99" s="2" t="s">
        <v>1618</v>
      </c>
      <c r="J99" s="2" t="s">
        <v>1618</v>
      </c>
      <c r="K99" s="2" t="s">
        <v>384</v>
      </c>
      <c r="L99" s="22">
        <v>35000</v>
      </c>
      <c r="M99" s="22">
        <v>35000</v>
      </c>
      <c r="N99" s="2" t="s">
        <v>381</v>
      </c>
      <c r="O99" s="7"/>
      <c r="P99" s="7">
        <v>35000</v>
      </c>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2"/>
      <c r="BQ99" s="8">
        <v>45659</v>
      </c>
      <c r="BR99" s="8"/>
      <c r="BS99" s="2" t="s">
        <v>1744</v>
      </c>
      <c r="BT99" s="14">
        <f t="shared" si="3"/>
        <v>35000</v>
      </c>
      <c r="BU99" s="2" t="str">
        <f t="shared" si="4"/>
        <v>OK</v>
      </c>
      <c r="BV99" s="13">
        <f t="shared" si="5"/>
        <v>0</v>
      </c>
    </row>
    <row r="100" spans="1:74" s="9" customFormat="1" ht="112.5" customHeight="1" x14ac:dyDescent="0.25">
      <c r="A100" s="2" t="s">
        <v>1374</v>
      </c>
      <c r="B100" s="2" t="s">
        <v>614</v>
      </c>
      <c r="C100" s="2" t="s">
        <v>379</v>
      </c>
      <c r="D100" s="12" t="s">
        <v>615</v>
      </c>
      <c r="E100" s="2" t="s">
        <v>616</v>
      </c>
      <c r="F100" s="2" t="s">
        <v>72</v>
      </c>
      <c r="G100" s="2" t="s">
        <v>1668</v>
      </c>
      <c r="H100" s="2" t="s">
        <v>294</v>
      </c>
      <c r="I100" s="2" t="s">
        <v>1618</v>
      </c>
      <c r="J100" s="2" t="s">
        <v>1618</v>
      </c>
      <c r="K100" s="2" t="s">
        <v>384</v>
      </c>
      <c r="L100" s="22">
        <v>60000</v>
      </c>
      <c r="M100" s="22">
        <v>60000</v>
      </c>
      <c r="N100" s="2" t="s">
        <v>381</v>
      </c>
      <c r="O100" s="7"/>
      <c r="P100" s="7">
        <v>60000</v>
      </c>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8"/>
      <c r="BQ100" s="8">
        <v>45663</v>
      </c>
      <c r="BR100" s="2"/>
      <c r="BS100" s="2" t="s">
        <v>1749</v>
      </c>
      <c r="BT100" s="14">
        <f t="shared" si="3"/>
        <v>60000</v>
      </c>
      <c r="BU100" s="2" t="str">
        <f t="shared" si="4"/>
        <v>OK</v>
      </c>
      <c r="BV100" s="13">
        <f t="shared" si="5"/>
        <v>0</v>
      </c>
    </row>
    <row r="101" spans="1:74" s="9" customFormat="1" ht="56.25" hidden="1" x14ac:dyDescent="0.25">
      <c r="A101" s="24" t="s">
        <v>1350</v>
      </c>
      <c r="B101" s="24" t="s">
        <v>393</v>
      </c>
      <c r="C101" s="24" t="s">
        <v>379</v>
      </c>
      <c r="D101" s="69" t="s">
        <v>394</v>
      </c>
      <c r="E101" s="2"/>
      <c r="F101" s="24" t="s">
        <v>65</v>
      </c>
      <c r="G101" s="24" t="s">
        <v>1637</v>
      </c>
      <c r="H101" s="24" t="s">
        <v>66</v>
      </c>
      <c r="I101" s="24" t="s">
        <v>5</v>
      </c>
      <c r="J101" s="24">
        <v>1</v>
      </c>
      <c r="K101" s="24" t="s">
        <v>67</v>
      </c>
      <c r="L101" s="70">
        <v>1440072</v>
      </c>
      <c r="M101" s="70">
        <v>100000</v>
      </c>
      <c r="N101" s="24" t="s">
        <v>48</v>
      </c>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f>M101</f>
        <v>100000</v>
      </c>
      <c r="BE101" s="7"/>
      <c r="BF101" s="7"/>
      <c r="BG101" s="7"/>
      <c r="BH101" s="7"/>
      <c r="BI101" s="7"/>
      <c r="BJ101" s="7"/>
      <c r="BK101" s="7"/>
      <c r="BL101" s="7"/>
      <c r="BM101" s="7"/>
      <c r="BN101" s="7"/>
      <c r="BO101" s="7"/>
      <c r="BP101" s="8">
        <v>45992</v>
      </c>
      <c r="BQ101" s="24"/>
      <c r="BR101" s="2" t="s">
        <v>1804</v>
      </c>
      <c r="BS101" s="24" t="s">
        <v>1707</v>
      </c>
      <c r="BT101" s="14">
        <f t="shared" si="3"/>
        <v>100000</v>
      </c>
      <c r="BU101" s="2" t="str">
        <f t="shared" si="4"/>
        <v>OK</v>
      </c>
      <c r="BV101" s="13">
        <f t="shared" si="5"/>
        <v>0</v>
      </c>
    </row>
    <row r="102" spans="1:74" s="9" customFormat="1" ht="80.25" customHeight="1" x14ac:dyDescent="0.25">
      <c r="A102" s="2" t="s">
        <v>1327</v>
      </c>
      <c r="B102" s="2" t="s">
        <v>421</v>
      </c>
      <c r="C102" s="2" t="s">
        <v>379</v>
      </c>
      <c r="D102" s="12" t="s">
        <v>422</v>
      </c>
      <c r="E102" s="2" t="s">
        <v>423</v>
      </c>
      <c r="F102" s="2" t="s">
        <v>72</v>
      </c>
      <c r="G102" s="2" t="s">
        <v>1668</v>
      </c>
      <c r="H102" s="2" t="s">
        <v>77</v>
      </c>
      <c r="I102" s="2" t="s">
        <v>1618</v>
      </c>
      <c r="J102" s="2" t="s">
        <v>1618</v>
      </c>
      <c r="K102" s="2" t="s">
        <v>384</v>
      </c>
      <c r="L102" s="22">
        <v>600000</v>
      </c>
      <c r="M102" s="22">
        <v>600000</v>
      </c>
      <c r="N102" s="2" t="s">
        <v>11</v>
      </c>
      <c r="O102" s="7"/>
      <c r="P102" s="7"/>
      <c r="Q102" s="7"/>
      <c r="R102" s="7"/>
      <c r="S102" s="7">
        <f>M102</f>
        <v>600000</v>
      </c>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2"/>
      <c r="BQ102" s="8">
        <v>45666</v>
      </c>
      <c r="BR102" s="8"/>
      <c r="BS102" s="2" t="s">
        <v>1744</v>
      </c>
      <c r="BT102" s="14">
        <f t="shared" si="3"/>
        <v>600000</v>
      </c>
      <c r="BU102" s="2" t="str">
        <f t="shared" si="4"/>
        <v>OK</v>
      </c>
      <c r="BV102" s="13">
        <f t="shared" si="5"/>
        <v>0</v>
      </c>
    </row>
    <row r="103" spans="1:74" s="9" customFormat="1" ht="111.75" customHeight="1" x14ac:dyDescent="0.25">
      <c r="A103" s="2" t="s">
        <v>1366</v>
      </c>
      <c r="B103" s="2" t="s">
        <v>477</v>
      </c>
      <c r="C103" s="2" t="s">
        <v>379</v>
      </c>
      <c r="D103" s="12" t="s">
        <v>478</v>
      </c>
      <c r="E103" s="2" t="s">
        <v>479</v>
      </c>
      <c r="F103" s="2" t="s">
        <v>72</v>
      </c>
      <c r="G103" s="2" t="s">
        <v>1668</v>
      </c>
      <c r="H103" s="2" t="s">
        <v>294</v>
      </c>
      <c r="I103" s="2" t="s">
        <v>1618</v>
      </c>
      <c r="J103" s="2" t="s">
        <v>1618</v>
      </c>
      <c r="K103" s="2" t="s">
        <v>384</v>
      </c>
      <c r="L103" s="22">
        <v>300000</v>
      </c>
      <c r="M103" s="22">
        <v>300000</v>
      </c>
      <c r="N103" s="2" t="s">
        <v>480</v>
      </c>
      <c r="O103" s="7"/>
      <c r="P103" s="7">
        <v>300000</v>
      </c>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8"/>
      <c r="BQ103" s="8">
        <v>45689</v>
      </c>
      <c r="BR103" s="2"/>
      <c r="BS103" s="2" t="s">
        <v>1745</v>
      </c>
      <c r="BT103" s="14">
        <f t="shared" si="3"/>
        <v>300000</v>
      </c>
      <c r="BU103" s="2" t="str">
        <f t="shared" si="4"/>
        <v>OK</v>
      </c>
      <c r="BV103" s="13">
        <f t="shared" si="5"/>
        <v>0</v>
      </c>
    </row>
    <row r="104" spans="1:74" s="9" customFormat="1" ht="90" hidden="1" x14ac:dyDescent="0.25">
      <c r="A104" s="2" t="s">
        <v>1260</v>
      </c>
      <c r="B104" s="2" t="s">
        <v>378</v>
      </c>
      <c r="C104" s="2" t="s">
        <v>379</v>
      </c>
      <c r="D104" s="12" t="s">
        <v>380</v>
      </c>
      <c r="E104" s="2"/>
      <c r="F104" s="2" t="s">
        <v>65</v>
      </c>
      <c r="G104" s="2" t="s">
        <v>1637</v>
      </c>
      <c r="H104" s="2" t="s">
        <v>66</v>
      </c>
      <c r="I104" s="2" t="s">
        <v>5</v>
      </c>
      <c r="J104" s="2">
        <v>1</v>
      </c>
      <c r="K104" s="2" t="s">
        <v>67</v>
      </c>
      <c r="L104" s="22">
        <v>3110400</v>
      </c>
      <c r="M104" s="22">
        <v>500000</v>
      </c>
      <c r="N104" s="2" t="s">
        <v>1137</v>
      </c>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v>250000</v>
      </c>
      <c r="BN104" s="7">
        <v>250000</v>
      </c>
      <c r="BO104" s="7"/>
      <c r="BP104" s="8">
        <v>45993</v>
      </c>
      <c r="BQ104" s="2"/>
      <c r="BR104" s="2" t="s">
        <v>1804</v>
      </c>
      <c r="BS104" s="2" t="s">
        <v>1703</v>
      </c>
      <c r="BT104" s="14">
        <f t="shared" si="3"/>
        <v>500000</v>
      </c>
      <c r="BU104" s="2" t="str">
        <f t="shared" si="4"/>
        <v>OK</v>
      </c>
      <c r="BV104" s="13">
        <f t="shared" si="5"/>
        <v>0</v>
      </c>
    </row>
    <row r="105" spans="1:74" s="9" customFormat="1" ht="101.25" hidden="1" x14ac:dyDescent="0.25">
      <c r="A105" s="2" t="s">
        <v>1386</v>
      </c>
      <c r="B105" s="2" t="s">
        <v>858</v>
      </c>
      <c r="C105" s="2" t="s">
        <v>681</v>
      </c>
      <c r="D105" s="12" t="s">
        <v>859</v>
      </c>
      <c r="E105" s="2"/>
      <c r="F105" s="2" t="s">
        <v>72</v>
      </c>
      <c r="G105" s="2" t="s">
        <v>1637</v>
      </c>
      <c r="H105" s="2" t="s">
        <v>66</v>
      </c>
      <c r="I105" s="2" t="s">
        <v>5</v>
      </c>
      <c r="J105" s="2" t="s">
        <v>1675</v>
      </c>
      <c r="K105" s="2" t="s">
        <v>384</v>
      </c>
      <c r="L105" s="22">
        <v>17500000</v>
      </c>
      <c r="M105" s="22">
        <v>17500000</v>
      </c>
      <c r="N105" s="2" t="s">
        <v>381</v>
      </c>
      <c r="O105" s="7"/>
      <c r="P105" s="7"/>
      <c r="Q105" s="7"/>
      <c r="R105" s="7"/>
      <c r="S105" s="7"/>
      <c r="T105" s="7"/>
      <c r="U105" s="7"/>
      <c r="V105" s="7"/>
      <c r="W105" s="7"/>
      <c r="X105" s="7"/>
      <c r="Y105" s="7"/>
      <c r="Z105" s="7"/>
      <c r="AA105" s="7"/>
      <c r="AB105" s="7"/>
      <c r="AC105" s="7"/>
      <c r="AD105" s="7"/>
      <c r="AE105" s="7">
        <v>7875000</v>
      </c>
      <c r="AF105" s="7">
        <v>9625000</v>
      </c>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8">
        <v>46021</v>
      </c>
      <c r="BQ105" s="2"/>
      <c r="BR105" s="2" t="s">
        <v>1805</v>
      </c>
      <c r="BS105" s="2" t="s">
        <v>1703</v>
      </c>
      <c r="BT105" s="14">
        <f t="shared" si="3"/>
        <v>17500000</v>
      </c>
      <c r="BU105" s="2" t="str">
        <f t="shared" si="4"/>
        <v>OK</v>
      </c>
      <c r="BV105" s="13">
        <f t="shared" si="5"/>
        <v>0</v>
      </c>
    </row>
    <row r="106" spans="1:74" s="9" customFormat="1" ht="33.75" hidden="1" x14ac:dyDescent="0.25">
      <c r="A106" s="2" t="s">
        <v>1611</v>
      </c>
      <c r="B106" s="2" t="s">
        <v>1620</v>
      </c>
      <c r="C106" s="2" t="s">
        <v>1048</v>
      </c>
      <c r="D106" s="12" t="s">
        <v>1622</v>
      </c>
      <c r="E106" s="2"/>
      <c r="F106" s="2" t="s">
        <v>65</v>
      </c>
      <c r="G106" s="2" t="s">
        <v>1636</v>
      </c>
      <c r="H106" s="2" t="s">
        <v>66</v>
      </c>
      <c r="I106" s="2" t="s">
        <v>5</v>
      </c>
      <c r="J106" s="2" t="s">
        <v>1614</v>
      </c>
      <c r="K106" s="2" t="s">
        <v>67</v>
      </c>
      <c r="L106" s="7">
        <v>1126.3</v>
      </c>
      <c r="M106" s="7">
        <v>1126.3</v>
      </c>
      <c r="N106" s="2" t="s">
        <v>14</v>
      </c>
      <c r="O106" s="7"/>
      <c r="P106" s="7"/>
      <c r="Q106" s="7"/>
      <c r="R106" s="7"/>
      <c r="S106" s="7"/>
      <c r="T106" s="7"/>
      <c r="U106" s="7"/>
      <c r="V106" s="27">
        <v>1126.3</v>
      </c>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8">
        <v>45750</v>
      </c>
      <c r="BQ106" s="2"/>
      <c r="BR106" s="2" t="s">
        <v>1798</v>
      </c>
      <c r="BS106" s="2" t="s">
        <v>1703</v>
      </c>
      <c r="BT106" s="14">
        <f t="shared" si="3"/>
        <v>1126.3</v>
      </c>
      <c r="BU106" s="2" t="str">
        <f t="shared" si="4"/>
        <v>OK</v>
      </c>
      <c r="BV106" s="13">
        <f t="shared" si="5"/>
        <v>0</v>
      </c>
    </row>
    <row r="107" spans="1:74" s="9" customFormat="1" ht="90" hidden="1" x14ac:dyDescent="0.25">
      <c r="A107" s="2" t="s">
        <v>1221</v>
      </c>
      <c r="B107" s="2" t="s">
        <v>289</v>
      </c>
      <c r="C107" s="2" t="s">
        <v>274</v>
      </c>
      <c r="D107" s="12" t="s">
        <v>290</v>
      </c>
      <c r="E107" s="2"/>
      <c r="F107" s="2" t="s">
        <v>65</v>
      </c>
      <c r="G107" s="2" t="s">
        <v>1636</v>
      </c>
      <c r="H107" s="2" t="s">
        <v>66</v>
      </c>
      <c r="I107" s="2" t="s">
        <v>686</v>
      </c>
      <c r="J107" s="2" t="s">
        <v>1618</v>
      </c>
      <c r="K107" s="2" t="s">
        <v>67</v>
      </c>
      <c r="L107" s="22">
        <v>851289.9</v>
      </c>
      <c r="M107" s="22">
        <v>851289.9</v>
      </c>
      <c r="N107" s="2" t="s">
        <v>42</v>
      </c>
      <c r="O107" s="7">
        <v>0</v>
      </c>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v>851289.9</v>
      </c>
      <c r="AY107" s="7"/>
      <c r="AZ107" s="7"/>
      <c r="BA107" s="7"/>
      <c r="BB107" s="7"/>
      <c r="BC107" s="7"/>
      <c r="BD107" s="7"/>
      <c r="BE107" s="7"/>
      <c r="BF107" s="7"/>
      <c r="BG107" s="7"/>
      <c r="BH107" s="7"/>
      <c r="BI107" s="7"/>
      <c r="BJ107" s="7"/>
      <c r="BK107" s="7"/>
      <c r="BL107" s="7"/>
      <c r="BM107" s="7"/>
      <c r="BN107" s="7"/>
      <c r="BO107" s="7"/>
      <c r="BP107" s="8">
        <v>45839</v>
      </c>
      <c r="BQ107" s="2"/>
      <c r="BR107" s="2" t="s">
        <v>1800</v>
      </c>
      <c r="BS107" s="2"/>
      <c r="BT107" s="14">
        <f t="shared" si="3"/>
        <v>851289.9</v>
      </c>
      <c r="BU107" s="2" t="str">
        <f t="shared" si="4"/>
        <v>OK</v>
      </c>
      <c r="BV107" s="13">
        <f t="shared" si="5"/>
        <v>0</v>
      </c>
    </row>
    <row r="108" spans="1:74" s="9" customFormat="1" ht="56.25" hidden="1" x14ac:dyDescent="0.25">
      <c r="A108" s="2" t="s">
        <v>1586</v>
      </c>
      <c r="B108" s="2" t="s">
        <v>1100</v>
      </c>
      <c r="C108" s="2" t="s">
        <v>676</v>
      </c>
      <c r="D108" s="12" t="s">
        <v>1101</v>
      </c>
      <c r="E108" s="2"/>
      <c r="F108" s="2" t="s">
        <v>65</v>
      </c>
      <c r="G108" s="2" t="s">
        <v>1636</v>
      </c>
      <c r="H108" s="2" t="s">
        <v>66</v>
      </c>
      <c r="I108" s="2" t="s">
        <v>686</v>
      </c>
      <c r="J108" s="2">
        <v>1</v>
      </c>
      <c r="K108" s="2" t="s">
        <v>67</v>
      </c>
      <c r="L108" s="22">
        <v>12677.6</v>
      </c>
      <c r="M108" s="22">
        <v>12677.6</v>
      </c>
      <c r="N108" s="2" t="s">
        <v>11</v>
      </c>
      <c r="O108" s="7"/>
      <c r="P108" s="7"/>
      <c r="Q108" s="7"/>
      <c r="R108" s="7"/>
      <c r="S108" s="7"/>
      <c r="T108" s="7"/>
      <c r="U108" s="7"/>
      <c r="V108" s="7">
        <v>12677.6</v>
      </c>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8">
        <v>45856</v>
      </c>
      <c r="BQ108" s="15"/>
      <c r="BR108" s="15" t="s">
        <v>1798</v>
      </c>
      <c r="BS108" s="2"/>
      <c r="BT108" s="14">
        <f t="shared" si="3"/>
        <v>12677.6</v>
      </c>
      <c r="BU108" s="2" t="str">
        <f t="shared" si="4"/>
        <v>OK</v>
      </c>
      <c r="BV108" s="13">
        <f t="shared" si="5"/>
        <v>0</v>
      </c>
    </row>
    <row r="109" spans="1:74" s="9" customFormat="1" ht="67.5" hidden="1" x14ac:dyDescent="0.25">
      <c r="A109" s="2" t="s">
        <v>1220</v>
      </c>
      <c r="B109" s="2" t="s">
        <v>339</v>
      </c>
      <c r="C109" s="2" t="s">
        <v>274</v>
      </c>
      <c r="D109" s="12" t="s">
        <v>340</v>
      </c>
      <c r="E109" s="2"/>
      <c r="F109" s="2" t="s">
        <v>65</v>
      </c>
      <c r="G109" s="2" t="s">
        <v>1635</v>
      </c>
      <c r="H109" s="2" t="s">
        <v>66</v>
      </c>
      <c r="I109" s="2" t="s">
        <v>686</v>
      </c>
      <c r="J109" s="2" t="s">
        <v>1618</v>
      </c>
      <c r="K109" s="2" t="s">
        <v>67</v>
      </c>
      <c r="L109" s="22">
        <v>1258344</v>
      </c>
      <c r="M109" s="22">
        <v>1258344</v>
      </c>
      <c r="N109" s="2" t="s">
        <v>42</v>
      </c>
      <c r="O109" s="7">
        <v>0</v>
      </c>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v>1258344</v>
      </c>
      <c r="AY109" s="7"/>
      <c r="AZ109" s="7"/>
      <c r="BA109" s="7"/>
      <c r="BB109" s="7"/>
      <c r="BC109" s="7"/>
      <c r="BD109" s="7"/>
      <c r="BE109" s="7"/>
      <c r="BF109" s="7"/>
      <c r="BG109" s="7"/>
      <c r="BH109" s="7"/>
      <c r="BI109" s="7"/>
      <c r="BJ109" s="7"/>
      <c r="BK109" s="7"/>
      <c r="BL109" s="7"/>
      <c r="BM109" s="7"/>
      <c r="BN109" s="7"/>
      <c r="BO109" s="7"/>
      <c r="BP109" s="8">
        <v>45988</v>
      </c>
      <c r="BQ109" s="2"/>
      <c r="BR109" s="2" t="s">
        <v>1798</v>
      </c>
      <c r="BS109" s="2"/>
      <c r="BT109" s="14">
        <f t="shared" si="3"/>
        <v>1258344</v>
      </c>
      <c r="BU109" s="2" t="str">
        <f t="shared" si="4"/>
        <v>OK</v>
      </c>
      <c r="BV109" s="13">
        <f t="shared" si="5"/>
        <v>0</v>
      </c>
    </row>
    <row r="110" spans="1:74" s="9" customFormat="1" ht="78.75" hidden="1" x14ac:dyDescent="0.25">
      <c r="A110" s="2" t="s">
        <v>1233</v>
      </c>
      <c r="B110" s="2" t="s">
        <v>610</v>
      </c>
      <c r="C110" s="2" t="s">
        <v>342</v>
      </c>
      <c r="D110" s="12" t="s">
        <v>611</v>
      </c>
      <c r="E110" s="2"/>
      <c r="F110" s="2" t="s">
        <v>65</v>
      </c>
      <c r="G110" s="2" t="s">
        <v>1665</v>
      </c>
      <c r="H110" s="2" t="s">
        <v>66</v>
      </c>
      <c r="I110" s="2" t="s">
        <v>1618</v>
      </c>
      <c r="J110" s="2" t="s">
        <v>1618</v>
      </c>
      <c r="K110" s="2" t="s">
        <v>67</v>
      </c>
      <c r="L110" s="22">
        <v>40073951.130000003</v>
      </c>
      <c r="M110" s="22">
        <v>29294000</v>
      </c>
      <c r="N110" s="2" t="s">
        <v>22</v>
      </c>
      <c r="O110" s="7">
        <v>0</v>
      </c>
      <c r="P110" s="7"/>
      <c r="Q110" s="7"/>
      <c r="R110" s="7"/>
      <c r="S110" s="7"/>
      <c r="T110" s="7"/>
      <c r="U110" s="7"/>
      <c r="V110" s="7"/>
      <c r="W110" s="7"/>
      <c r="X110" s="7"/>
      <c r="Y110" s="7"/>
      <c r="Z110" s="7"/>
      <c r="AA110" s="7"/>
      <c r="AB110" s="7"/>
      <c r="AC110" s="7"/>
      <c r="AD110" s="7">
        <v>29294000</v>
      </c>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8">
        <v>45691</v>
      </c>
      <c r="BQ110" s="2"/>
      <c r="BR110" s="2" t="s">
        <v>1800</v>
      </c>
      <c r="BS110" s="2" t="s">
        <v>1703</v>
      </c>
      <c r="BT110" s="14">
        <f t="shared" si="3"/>
        <v>29294000</v>
      </c>
      <c r="BU110" s="2" t="str">
        <f t="shared" si="4"/>
        <v>OK</v>
      </c>
      <c r="BV110" s="13">
        <f t="shared" si="5"/>
        <v>0</v>
      </c>
    </row>
    <row r="111" spans="1:74" s="9" customFormat="1" ht="101.25" hidden="1" x14ac:dyDescent="0.25">
      <c r="A111" s="2" t="s">
        <v>1152</v>
      </c>
      <c r="B111" s="2" t="s">
        <v>62</v>
      </c>
      <c r="C111" s="2" t="s">
        <v>63</v>
      </c>
      <c r="D111" s="12" t="s">
        <v>64</v>
      </c>
      <c r="E111" s="2"/>
      <c r="F111" s="2" t="s">
        <v>65</v>
      </c>
      <c r="G111" s="2" t="s">
        <v>1632</v>
      </c>
      <c r="H111" s="2" t="s">
        <v>66</v>
      </c>
      <c r="I111" s="2" t="s">
        <v>686</v>
      </c>
      <c r="J111" s="2">
        <v>230</v>
      </c>
      <c r="K111" s="2" t="s">
        <v>67</v>
      </c>
      <c r="L111" s="22">
        <v>680000</v>
      </c>
      <c r="M111" s="22">
        <v>136000</v>
      </c>
      <c r="N111" s="3" t="s">
        <v>68</v>
      </c>
      <c r="O111" s="17">
        <v>0</v>
      </c>
      <c r="P111" s="17"/>
      <c r="Q111" s="17"/>
      <c r="R111" s="17"/>
      <c r="S111" s="17"/>
      <c r="T111" s="17"/>
      <c r="U111" s="17"/>
      <c r="V111" s="17"/>
      <c r="W111" s="17"/>
      <c r="X111" s="17"/>
      <c r="Y111" s="17"/>
      <c r="Z111" s="17"/>
      <c r="AA111" s="17"/>
      <c r="AB111" s="17"/>
      <c r="AC111" s="17">
        <v>136000</v>
      </c>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8">
        <v>45659</v>
      </c>
      <c r="BQ111" s="2"/>
      <c r="BR111" s="2" t="s">
        <v>1798</v>
      </c>
      <c r="BS111" s="8" t="s">
        <v>1749</v>
      </c>
      <c r="BT111" s="14">
        <f t="shared" si="3"/>
        <v>136000</v>
      </c>
      <c r="BU111" s="2" t="str">
        <f t="shared" si="4"/>
        <v>OK</v>
      </c>
      <c r="BV111" s="13">
        <f t="shared" si="5"/>
        <v>0</v>
      </c>
    </row>
    <row r="112" spans="1:74" s="9" customFormat="1" ht="101.25" hidden="1" x14ac:dyDescent="0.25">
      <c r="A112" s="2" t="s">
        <v>1159</v>
      </c>
      <c r="B112" s="2" t="s">
        <v>95</v>
      </c>
      <c r="C112" s="2" t="s">
        <v>74</v>
      </c>
      <c r="D112" s="12" t="s">
        <v>96</v>
      </c>
      <c r="E112" s="29"/>
      <c r="F112" s="2" t="s">
        <v>65</v>
      </c>
      <c r="G112" s="2" t="s">
        <v>1632</v>
      </c>
      <c r="H112" s="2" t="s">
        <v>66</v>
      </c>
      <c r="I112" s="2" t="s">
        <v>5</v>
      </c>
      <c r="J112" s="2" t="s">
        <v>1618</v>
      </c>
      <c r="K112" s="2" t="s">
        <v>67</v>
      </c>
      <c r="L112" s="22">
        <v>72687504</v>
      </c>
      <c r="M112" s="22">
        <f>36343752.41-20000000</f>
        <v>16343752.409999996</v>
      </c>
      <c r="N112" s="2" t="s">
        <v>39</v>
      </c>
      <c r="O112" s="7">
        <v>0</v>
      </c>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v>16343752.41</v>
      </c>
      <c r="AV112" s="7"/>
      <c r="AW112" s="7"/>
      <c r="AX112" s="7"/>
      <c r="AY112" s="7"/>
      <c r="AZ112" s="7"/>
      <c r="BA112" s="7"/>
      <c r="BB112" s="7"/>
      <c r="BC112" s="7"/>
      <c r="BD112" s="7"/>
      <c r="BE112" s="7"/>
      <c r="BF112" s="7"/>
      <c r="BG112" s="7"/>
      <c r="BH112" s="7"/>
      <c r="BI112" s="7"/>
      <c r="BJ112" s="7"/>
      <c r="BK112" s="7"/>
      <c r="BL112" s="7"/>
      <c r="BM112" s="7"/>
      <c r="BN112" s="7"/>
      <c r="BO112" s="7"/>
      <c r="BP112" s="8">
        <v>45811</v>
      </c>
      <c r="BQ112" s="2"/>
      <c r="BR112" s="2" t="s">
        <v>1800</v>
      </c>
      <c r="BS112" s="2"/>
      <c r="BT112" s="14">
        <f t="shared" si="3"/>
        <v>16343752.41</v>
      </c>
      <c r="BU112" s="2" t="str">
        <f t="shared" si="4"/>
        <v>OK</v>
      </c>
      <c r="BV112" s="13">
        <f t="shared" si="5"/>
        <v>0</v>
      </c>
    </row>
    <row r="113" spans="1:74" s="9" customFormat="1" ht="90" hidden="1" x14ac:dyDescent="0.25">
      <c r="A113" s="2" t="s">
        <v>1427</v>
      </c>
      <c r="B113" s="3" t="s">
        <v>1120</v>
      </c>
      <c r="C113" s="3" t="s">
        <v>681</v>
      </c>
      <c r="D113" s="34" t="s">
        <v>958</v>
      </c>
      <c r="E113" s="3" t="s">
        <v>1121</v>
      </c>
      <c r="F113" s="2"/>
      <c r="G113" s="2" t="s">
        <v>2038</v>
      </c>
      <c r="H113" s="2" t="s">
        <v>77</v>
      </c>
      <c r="I113" s="2"/>
      <c r="J113" s="2"/>
      <c r="K113" s="2" t="s">
        <v>67</v>
      </c>
      <c r="L113" s="17">
        <v>485487.84</v>
      </c>
      <c r="M113" s="17">
        <v>485487.84</v>
      </c>
      <c r="N113" s="3" t="s">
        <v>1141</v>
      </c>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v>194195.13</v>
      </c>
      <c r="BE113" s="7">
        <v>291292.71000000002</v>
      </c>
      <c r="BF113" s="7"/>
      <c r="BG113" s="7"/>
      <c r="BH113" s="7"/>
      <c r="BI113" s="7"/>
      <c r="BJ113" s="7"/>
      <c r="BK113" s="7"/>
      <c r="BL113" s="7"/>
      <c r="BM113" s="7"/>
      <c r="BN113" s="7"/>
      <c r="BO113" s="7"/>
      <c r="BP113" s="8">
        <v>45659</v>
      </c>
      <c r="BQ113" s="2"/>
      <c r="BR113" s="2"/>
      <c r="BS113" s="8" t="s">
        <v>1753</v>
      </c>
      <c r="BT113" s="14">
        <f t="shared" si="3"/>
        <v>485487.84</v>
      </c>
      <c r="BU113" s="2" t="str">
        <f t="shared" si="4"/>
        <v>OK</v>
      </c>
      <c r="BV113" s="13">
        <f t="shared" si="5"/>
        <v>0</v>
      </c>
    </row>
    <row r="114" spans="1:74" s="9" customFormat="1" ht="22.5" hidden="1" x14ac:dyDescent="0.25">
      <c r="A114" s="2" t="s">
        <v>1613</v>
      </c>
      <c r="B114" s="2" t="s">
        <v>1119</v>
      </c>
      <c r="C114" s="2" t="s">
        <v>1136</v>
      </c>
      <c r="D114" s="34" t="s">
        <v>1626</v>
      </c>
      <c r="E114" s="2"/>
      <c r="F114" s="2" t="s">
        <v>65</v>
      </c>
      <c r="G114" s="2" t="s">
        <v>1633</v>
      </c>
      <c r="H114" s="2" t="s">
        <v>66</v>
      </c>
      <c r="I114" s="2" t="s">
        <v>686</v>
      </c>
      <c r="J114" s="2" t="s">
        <v>1618</v>
      </c>
      <c r="K114" s="2" t="s">
        <v>67</v>
      </c>
      <c r="L114" s="7">
        <v>1525486.2</v>
      </c>
      <c r="M114" s="7">
        <v>152548.62</v>
      </c>
      <c r="N114" s="2" t="s">
        <v>14</v>
      </c>
      <c r="O114" s="7"/>
      <c r="P114" s="7"/>
      <c r="Q114" s="7"/>
      <c r="R114" s="7"/>
      <c r="S114" s="7"/>
      <c r="T114" s="7"/>
      <c r="U114" s="7"/>
      <c r="V114" s="7">
        <v>152548.62</v>
      </c>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8">
        <v>45812</v>
      </c>
      <c r="BQ114" s="2"/>
      <c r="BR114" s="2" t="s">
        <v>1800</v>
      </c>
      <c r="BS114" s="8" t="s">
        <v>1744</v>
      </c>
      <c r="BT114" s="14">
        <f t="shared" si="3"/>
        <v>152548.62</v>
      </c>
      <c r="BU114" s="2" t="str">
        <f t="shared" si="4"/>
        <v>OK</v>
      </c>
      <c r="BV114" s="13">
        <f t="shared" si="5"/>
        <v>0</v>
      </c>
    </row>
    <row r="115" spans="1:74" s="9" customFormat="1" ht="107.25" customHeight="1" x14ac:dyDescent="0.25">
      <c r="A115" s="2" t="s">
        <v>1283</v>
      </c>
      <c r="B115" s="2" t="s">
        <v>407</v>
      </c>
      <c r="C115" s="2" t="s">
        <v>379</v>
      </c>
      <c r="D115" s="12" t="s">
        <v>408</v>
      </c>
      <c r="E115" s="2" t="s">
        <v>409</v>
      </c>
      <c r="F115" s="2" t="s">
        <v>72</v>
      </c>
      <c r="G115" s="2" t="s">
        <v>1668</v>
      </c>
      <c r="H115" s="2" t="s">
        <v>294</v>
      </c>
      <c r="I115" s="2" t="s">
        <v>1618</v>
      </c>
      <c r="J115" s="2" t="s">
        <v>1618</v>
      </c>
      <c r="K115" s="2" t="s">
        <v>384</v>
      </c>
      <c r="L115" s="22">
        <v>2600000</v>
      </c>
      <c r="M115" s="22">
        <v>1000000</v>
      </c>
      <c r="N115" s="2" t="s">
        <v>403</v>
      </c>
      <c r="O115" s="7"/>
      <c r="P115" s="7">
        <v>1000000</v>
      </c>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8"/>
      <c r="BQ115" s="8">
        <v>45700</v>
      </c>
      <c r="BR115" s="2"/>
      <c r="BS115" s="8" t="s">
        <v>1745</v>
      </c>
      <c r="BT115" s="14">
        <f t="shared" si="3"/>
        <v>1000000</v>
      </c>
      <c r="BU115" s="2" t="str">
        <f t="shared" si="4"/>
        <v>OK</v>
      </c>
      <c r="BV115" s="13">
        <f t="shared" si="5"/>
        <v>0</v>
      </c>
    </row>
    <row r="116" spans="1:74" s="9" customFormat="1" ht="114.75" customHeight="1" x14ac:dyDescent="0.25">
      <c r="A116" s="2" t="s">
        <v>1365</v>
      </c>
      <c r="B116" s="2" t="s">
        <v>471</v>
      </c>
      <c r="C116" s="2" t="s">
        <v>379</v>
      </c>
      <c r="D116" s="12" t="s">
        <v>472</v>
      </c>
      <c r="E116" s="2" t="s">
        <v>473</v>
      </c>
      <c r="F116" s="2" t="s">
        <v>72</v>
      </c>
      <c r="G116" s="2" t="s">
        <v>1668</v>
      </c>
      <c r="H116" s="2" t="s">
        <v>77</v>
      </c>
      <c r="I116" s="2" t="s">
        <v>1618</v>
      </c>
      <c r="J116" s="2" t="s">
        <v>1618</v>
      </c>
      <c r="K116" s="2" t="s">
        <v>384</v>
      </c>
      <c r="L116" s="22">
        <v>300000</v>
      </c>
      <c r="M116" s="22">
        <v>300000</v>
      </c>
      <c r="N116" s="2" t="s">
        <v>381</v>
      </c>
      <c r="O116" s="7"/>
      <c r="P116" s="7">
        <v>300000</v>
      </c>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2"/>
      <c r="BQ116" s="8">
        <v>45701</v>
      </c>
      <c r="BR116" s="8"/>
      <c r="BS116" s="2" t="s">
        <v>1744</v>
      </c>
      <c r="BT116" s="14">
        <f t="shared" si="3"/>
        <v>300000</v>
      </c>
      <c r="BU116" s="2" t="str">
        <f t="shared" si="4"/>
        <v>OK</v>
      </c>
      <c r="BV116" s="13">
        <f t="shared" si="5"/>
        <v>0</v>
      </c>
    </row>
    <row r="117" spans="1:74" s="9" customFormat="1" ht="106.5" customHeight="1" x14ac:dyDescent="0.25">
      <c r="A117" s="2" t="s">
        <v>1280</v>
      </c>
      <c r="B117" s="2" t="s">
        <v>441</v>
      </c>
      <c r="C117" s="2" t="s">
        <v>379</v>
      </c>
      <c r="D117" s="12" t="s">
        <v>442</v>
      </c>
      <c r="E117" s="2" t="s">
        <v>443</v>
      </c>
      <c r="F117" s="2" t="s">
        <v>72</v>
      </c>
      <c r="G117" s="2" t="s">
        <v>1668</v>
      </c>
      <c r="H117" s="2" t="s">
        <v>294</v>
      </c>
      <c r="I117" s="2" t="s">
        <v>1618</v>
      </c>
      <c r="J117" s="2" t="s">
        <v>1618</v>
      </c>
      <c r="K117" s="2" t="s">
        <v>384</v>
      </c>
      <c r="L117" s="22">
        <v>3000000</v>
      </c>
      <c r="M117" s="22">
        <v>2000000</v>
      </c>
      <c r="N117" s="2" t="s">
        <v>403</v>
      </c>
      <c r="O117" s="7"/>
      <c r="P117" s="7">
        <v>2000000</v>
      </c>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8"/>
      <c r="BQ117" s="8">
        <v>45705</v>
      </c>
      <c r="BR117" s="2"/>
      <c r="BS117" s="8" t="s">
        <v>1745</v>
      </c>
      <c r="BT117" s="14">
        <f t="shared" si="3"/>
        <v>2000000</v>
      </c>
      <c r="BU117" s="2" t="str">
        <f t="shared" si="4"/>
        <v>OK</v>
      </c>
      <c r="BV117" s="13">
        <f t="shared" si="5"/>
        <v>0</v>
      </c>
    </row>
    <row r="118" spans="1:74" s="9" customFormat="1" ht="90" x14ac:dyDescent="0.25">
      <c r="A118" s="2" t="s">
        <v>1508</v>
      </c>
      <c r="B118" s="2" t="s">
        <v>926</v>
      </c>
      <c r="C118" s="2" t="s">
        <v>681</v>
      </c>
      <c r="D118" s="12" t="s">
        <v>927</v>
      </c>
      <c r="E118" s="2"/>
      <c r="F118" s="2" t="s">
        <v>65</v>
      </c>
      <c r="G118" s="2" t="s">
        <v>2028</v>
      </c>
      <c r="H118" s="2" t="s">
        <v>77</v>
      </c>
      <c r="I118" s="2" t="s">
        <v>686</v>
      </c>
      <c r="J118" s="2" t="s">
        <v>1618</v>
      </c>
      <c r="K118" s="2" t="s">
        <v>67</v>
      </c>
      <c r="L118" s="22">
        <v>15166.04</v>
      </c>
      <c r="M118" s="22">
        <v>15166.04</v>
      </c>
      <c r="N118" s="2" t="s">
        <v>1140</v>
      </c>
      <c r="O118" s="7">
        <v>0</v>
      </c>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v>8038</v>
      </c>
      <c r="BE118" s="7">
        <v>7128.04</v>
      </c>
      <c r="BF118" s="7"/>
      <c r="BG118" s="7"/>
      <c r="BH118" s="7"/>
      <c r="BI118" s="7"/>
      <c r="BJ118" s="7"/>
      <c r="BK118" s="7"/>
      <c r="BL118" s="7"/>
      <c r="BM118" s="7"/>
      <c r="BN118" s="7"/>
      <c r="BO118" s="7"/>
      <c r="BP118" s="2"/>
      <c r="BQ118" s="8">
        <v>45490</v>
      </c>
      <c r="BR118" s="8"/>
      <c r="BS118" s="2" t="s">
        <v>1710</v>
      </c>
      <c r="BT118" s="14">
        <f t="shared" si="3"/>
        <v>15166.04</v>
      </c>
      <c r="BU118" s="2" t="str">
        <f t="shared" si="4"/>
        <v>OK</v>
      </c>
      <c r="BV118" s="13">
        <f t="shared" si="5"/>
        <v>0</v>
      </c>
    </row>
    <row r="119" spans="1:74" s="9" customFormat="1" ht="123.75" x14ac:dyDescent="0.25">
      <c r="A119" s="2" t="s">
        <v>1387</v>
      </c>
      <c r="B119" s="2" t="s">
        <v>885</v>
      </c>
      <c r="C119" s="2" t="s">
        <v>681</v>
      </c>
      <c r="D119" s="12" t="s">
        <v>886</v>
      </c>
      <c r="E119" s="2"/>
      <c r="F119" s="2" t="s">
        <v>65</v>
      </c>
      <c r="G119" s="2" t="s">
        <v>2028</v>
      </c>
      <c r="H119" s="2" t="s">
        <v>77</v>
      </c>
      <c r="I119" s="2" t="s">
        <v>686</v>
      </c>
      <c r="J119" s="2" t="s">
        <v>1618</v>
      </c>
      <c r="K119" s="2" t="s">
        <v>67</v>
      </c>
      <c r="L119" s="22">
        <v>26881818.48</v>
      </c>
      <c r="M119" s="22">
        <v>26881818.48</v>
      </c>
      <c r="N119" s="2" t="s">
        <v>887</v>
      </c>
      <c r="O119" s="7"/>
      <c r="P119" s="7"/>
      <c r="Q119" s="7"/>
      <c r="R119" s="7"/>
      <c r="S119" s="7"/>
      <c r="T119" s="7"/>
      <c r="U119" s="7"/>
      <c r="V119" s="7">
        <v>1101528.54</v>
      </c>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v>13921356.52</v>
      </c>
      <c r="BE119" s="7">
        <v>11858933.42</v>
      </c>
      <c r="BF119" s="7"/>
      <c r="BG119" s="7"/>
      <c r="BH119" s="7"/>
      <c r="BI119" s="7"/>
      <c r="BJ119" s="7"/>
      <c r="BK119" s="7"/>
      <c r="BL119" s="7"/>
      <c r="BM119" s="7"/>
      <c r="BN119" s="7"/>
      <c r="BO119" s="7"/>
      <c r="BP119" s="2"/>
      <c r="BQ119" s="8">
        <v>46022</v>
      </c>
      <c r="BR119" s="8"/>
      <c r="BS119" s="2"/>
      <c r="BT119" s="14">
        <f t="shared" si="3"/>
        <v>26881818.479999997</v>
      </c>
      <c r="BU119" s="2" t="str">
        <f t="shared" si="4"/>
        <v>OK</v>
      </c>
      <c r="BV119" s="13">
        <f t="shared" si="5"/>
        <v>0</v>
      </c>
    </row>
    <row r="120" spans="1:74" s="9" customFormat="1" ht="135" x14ac:dyDescent="0.25">
      <c r="A120" s="2" t="s">
        <v>1389</v>
      </c>
      <c r="B120" s="2" t="s">
        <v>866</v>
      </c>
      <c r="C120" s="2" t="s">
        <v>681</v>
      </c>
      <c r="D120" s="12" t="s">
        <v>867</v>
      </c>
      <c r="E120" s="2"/>
      <c r="F120" s="2" t="s">
        <v>65</v>
      </c>
      <c r="G120" s="2" t="s">
        <v>2028</v>
      </c>
      <c r="H120" s="2" t="s">
        <v>77</v>
      </c>
      <c r="I120" s="2" t="s">
        <v>686</v>
      </c>
      <c r="J120" s="2" t="s">
        <v>1618</v>
      </c>
      <c r="K120" s="2" t="s">
        <v>67</v>
      </c>
      <c r="L120" s="22">
        <v>10479280.140000001</v>
      </c>
      <c r="M120" s="22">
        <v>10479280.140000001</v>
      </c>
      <c r="N120" s="2" t="s">
        <v>868</v>
      </c>
      <c r="O120" s="7"/>
      <c r="P120" s="7"/>
      <c r="Q120" s="7"/>
      <c r="R120" s="7"/>
      <c r="S120" s="7"/>
      <c r="T120" s="7"/>
      <c r="U120" s="7"/>
      <c r="V120" s="7">
        <v>265384.21000000002</v>
      </c>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v>5515503.7999999998</v>
      </c>
      <c r="BE120" s="7">
        <v>4698392.13</v>
      </c>
      <c r="BF120" s="7"/>
      <c r="BG120" s="7"/>
      <c r="BH120" s="7"/>
      <c r="BI120" s="7"/>
      <c r="BJ120" s="7"/>
      <c r="BK120" s="7"/>
      <c r="BL120" s="7"/>
      <c r="BM120" s="7"/>
      <c r="BN120" s="7"/>
      <c r="BO120" s="7"/>
      <c r="BP120" s="2"/>
      <c r="BQ120" s="8">
        <v>46022</v>
      </c>
      <c r="BR120" s="8"/>
      <c r="BS120" s="8" t="s">
        <v>1745</v>
      </c>
      <c r="BT120" s="14">
        <f t="shared" si="3"/>
        <v>10479280.140000001</v>
      </c>
      <c r="BU120" s="2" t="str">
        <f t="shared" si="4"/>
        <v>OK</v>
      </c>
      <c r="BV120" s="13">
        <f t="shared" si="5"/>
        <v>0</v>
      </c>
    </row>
    <row r="121" spans="1:74" s="9" customFormat="1" ht="123.75" x14ac:dyDescent="0.25">
      <c r="A121" s="2" t="s">
        <v>1394</v>
      </c>
      <c r="B121" s="2" t="s">
        <v>873</v>
      </c>
      <c r="C121" s="2" t="s">
        <v>681</v>
      </c>
      <c r="D121" s="12" t="s">
        <v>874</v>
      </c>
      <c r="E121" s="2"/>
      <c r="F121" s="2" t="s">
        <v>65</v>
      </c>
      <c r="G121" s="2" t="s">
        <v>2028</v>
      </c>
      <c r="H121" s="2" t="s">
        <v>77</v>
      </c>
      <c r="I121" s="2" t="s">
        <v>686</v>
      </c>
      <c r="J121" s="2" t="s">
        <v>1618</v>
      </c>
      <c r="K121" s="2" t="s">
        <v>67</v>
      </c>
      <c r="L121" s="22">
        <v>2271921.27</v>
      </c>
      <c r="M121" s="22">
        <v>2271921.27</v>
      </c>
      <c r="N121" s="2" t="s">
        <v>875</v>
      </c>
      <c r="O121" s="7"/>
      <c r="P121" s="7"/>
      <c r="Q121" s="7"/>
      <c r="R121" s="7"/>
      <c r="S121" s="7"/>
      <c r="T121" s="7"/>
      <c r="U121" s="7"/>
      <c r="V121" s="7">
        <v>93338.16</v>
      </c>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v>1176434.8799999999</v>
      </c>
      <c r="BE121" s="7">
        <v>1002148.23</v>
      </c>
      <c r="BF121" s="7"/>
      <c r="BG121" s="7"/>
      <c r="BH121" s="7"/>
      <c r="BI121" s="7"/>
      <c r="BJ121" s="7"/>
      <c r="BK121" s="7"/>
      <c r="BL121" s="7"/>
      <c r="BM121" s="7"/>
      <c r="BN121" s="7"/>
      <c r="BO121" s="7"/>
      <c r="BP121" s="2"/>
      <c r="BQ121" s="8">
        <v>46022</v>
      </c>
      <c r="BR121" s="8"/>
      <c r="BS121" s="8" t="s">
        <v>1749</v>
      </c>
      <c r="BT121" s="14">
        <f t="shared" si="3"/>
        <v>2271921.2699999996</v>
      </c>
      <c r="BU121" s="2" t="str">
        <f t="shared" si="4"/>
        <v>OK</v>
      </c>
      <c r="BV121" s="13">
        <f t="shared" si="5"/>
        <v>0</v>
      </c>
    </row>
    <row r="122" spans="1:74" s="9" customFormat="1" ht="101.25" hidden="1" x14ac:dyDescent="0.25">
      <c r="A122" s="2" t="s">
        <v>1442</v>
      </c>
      <c r="B122" s="2" t="s">
        <v>803</v>
      </c>
      <c r="C122" s="2" t="s">
        <v>681</v>
      </c>
      <c r="D122" s="12" t="s">
        <v>804</v>
      </c>
      <c r="E122" s="2"/>
      <c r="F122" s="2" t="s">
        <v>65</v>
      </c>
      <c r="G122" s="2" t="s">
        <v>2038</v>
      </c>
      <c r="H122" s="2" t="s">
        <v>77</v>
      </c>
      <c r="I122" s="2" t="s">
        <v>686</v>
      </c>
      <c r="J122" s="2" t="s">
        <v>1618</v>
      </c>
      <c r="K122" s="2" t="s">
        <v>67</v>
      </c>
      <c r="L122" s="16">
        <v>221665.87</v>
      </c>
      <c r="M122" s="11">
        <v>221665.87</v>
      </c>
      <c r="N122" s="2" t="s">
        <v>1140</v>
      </c>
      <c r="O122" s="7">
        <v>0</v>
      </c>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v>110832.93</v>
      </c>
      <c r="BE122" s="7">
        <v>110832.94</v>
      </c>
      <c r="BF122" s="7"/>
      <c r="BG122" s="7"/>
      <c r="BH122" s="7"/>
      <c r="BI122" s="7"/>
      <c r="BJ122" s="7"/>
      <c r="BK122" s="7"/>
      <c r="BL122" s="7"/>
      <c r="BM122" s="7"/>
      <c r="BN122" s="7"/>
      <c r="BO122" s="7"/>
      <c r="BP122" s="2"/>
      <c r="BQ122" s="8">
        <v>45504</v>
      </c>
      <c r="BR122" s="8"/>
      <c r="BS122" s="2"/>
      <c r="BT122" s="14">
        <f t="shared" si="3"/>
        <v>221665.87</v>
      </c>
      <c r="BU122" s="2" t="str">
        <f t="shared" si="4"/>
        <v>OK</v>
      </c>
      <c r="BV122" s="13">
        <f t="shared" si="5"/>
        <v>0</v>
      </c>
    </row>
    <row r="123" spans="1:74" s="9" customFormat="1" ht="123.75" x14ac:dyDescent="0.25">
      <c r="A123" s="2" t="s">
        <v>1395</v>
      </c>
      <c r="B123" s="2" t="s">
        <v>893</v>
      </c>
      <c r="C123" s="2" t="s">
        <v>681</v>
      </c>
      <c r="D123" s="12" t="s">
        <v>894</v>
      </c>
      <c r="E123" s="2"/>
      <c r="F123" s="2" t="s">
        <v>65</v>
      </c>
      <c r="G123" s="2" t="s">
        <v>2028</v>
      </c>
      <c r="H123" s="2" t="s">
        <v>77</v>
      </c>
      <c r="I123" s="2" t="s">
        <v>686</v>
      </c>
      <c r="J123" s="2" t="s">
        <v>1618</v>
      </c>
      <c r="K123" s="2" t="s">
        <v>67</v>
      </c>
      <c r="L123" s="22">
        <v>1467809.06</v>
      </c>
      <c r="M123" s="22">
        <v>1467809.06</v>
      </c>
      <c r="N123" s="2" t="s">
        <v>875</v>
      </c>
      <c r="O123" s="7">
        <v>0</v>
      </c>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v>1467809.06</v>
      </c>
      <c r="BE123" s="7"/>
      <c r="BF123" s="7"/>
      <c r="BG123" s="7"/>
      <c r="BH123" s="7"/>
      <c r="BI123" s="7"/>
      <c r="BJ123" s="7"/>
      <c r="BK123" s="7"/>
      <c r="BL123" s="7"/>
      <c r="BM123" s="7"/>
      <c r="BN123" s="7"/>
      <c r="BO123" s="7"/>
      <c r="BP123" s="2"/>
      <c r="BQ123" s="8">
        <v>46022</v>
      </c>
      <c r="BR123" s="8"/>
      <c r="BS123" s="2"/>
      <c r="BT123" s="14">
        <f t="shared" si="3"/>
        <v>1467809.06</v>
      </c>
      <c r="BU123" s="2" t="str">
        <f t="shared" si="4"/>
        <v>OK</v>
      </c>
      <c r="BV123" s="13">
        <f t="shared" si="5"/>
        <v>0</v>
      </c>
    </row>
    <row r="124" spans="1:74" s="9" customFormat="1" ht="90" hidden="1" x14ac:dyDescent="0.25">
      <c r="A124" s="2" t="s">
        <v>1456</v>
      </c>
      <c r="B124" s="2" t="s">
        <v>969</v>
      </c>
      <c r="C124" s="2" t="s">
        <v>681</v>
      </c>
      <c r="D124" s="12" t="s">
        <v>1644</v>
      </c>
      <c r="E124" s="2" t="s">
        <v>970</v>
      </c>
      <c r="F124" s="2" t="s">
        <v>65</v>
      </c>
      <c r="G124" s="2" t="s">
        <v>2038</v>
      </c>
      <c r="H124" s="2" t="s">
        <v>77</v>
      </c>
      <c r="I124" s="2" t="s">
        <v>686</v>
      </c>
      <c r="J124" s="2" t="s">
        <v>1618</v>
      </c>
      <c r="K124" s="2" t="s">
        <v>67</v>
      </c>
      <c r="L124" s="16">
        <v>117241.65</v>
      </c>
      <c r="M124" s="11">
        <v>117241.65</v>
      </c>
      <c r="N124" s="2" t="s">
        <v>1141</v>
      </c>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v>102912.12</v>
      </c>
      <c r="BE124" s="7">
        <v>14329.53</v>
      </c>
      <c r="BF124" s="7"/>
      <c r="BG124" s="7"/>
      <c r="BH124" s="7"/>
      <c r="BI124" s="7"/>
      <c r="BJ124" s="7"/>
      <c r="BK124" s="7"/>
      <c r="BL124" s="7"/>
      <c r="BM124" s="7"/>
      <c r="BN124" s="7"/>
      <c r="BO124" s="7"/>
      <c r="BP124" s="2"/>
      <c r="BQ124" s="8">
        <v>46022</v>
      </c>
      <c r="BR124" s="8"/>
      <c r="BS124" s="8" t="s">
        <v>1749</v>
      </c>
      <c r="BT124" s="14">
        <f t="shared" si="3"/>
        <v>117241.65</v>
      </c>
      <c r="BU124" s="2" t="str">
        <f t="shared" si="4"/>
        <v>OK</v>
      </c>
      <c r="BV124" s="13">
        <f t="shared" si="5"/>
        <v>0</v>
      </c>
    </row>
    <row r="125" spans="1:74" s="9" customFormat="1" ht="78.75" x14ac:dyDescent="0.25">
      <c r="A125" s="2" t="s">
        <v>1425</v>
      </c>
      <c r="B125" s="2" t="s">
        <v>899</v>
      </c>
      <c r="C125" s="2" t="s">
        <v>681</v>
      </c>
      <c r="D125" s="12" t="s">
        <v>900</v>
      </c>
      <c r="E125" s="2"/>
      <c r="F125" s="2" t="s">
        <v>65</v>
      </c>
      <c r="G125" s="2" t="s">
        <v>2028</v>
      </c>
      <c r="H125" s="2" t="s">
        <v>77</v>
      </c>
      <c r="I125" s="2" t="s">
        <v>686</v>
      </c>
      <c r="J125" s="2" t="s">
        <v>1618</v>
      </c>
      <c r="K125" s="2" t="s">
        <v>67</v>
      </c>
      <c r="L125" s="22">
        <v>497772.3</v>
      </c>
      <c r="M125" s="22">
        <v>497772.3</v>
      </c>
      <c r="N125" s="2" t="s">
        <v>880</v>
      </c>
      <c r="O125" s="7"/>
      <c r="P125" s="7"/>
      <c r="Q125" s="7"/>
      <c r="R125" s="7"/>
      <c r="S125" s="7"/>
      <c r="T125" s="7"/>
      <c r="U125" s="7"/>
      <c r="V125" s="7">
        <v>7059.8</v>
      </c>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f>356030.12+1500</f>
        <v>357530.12</v>
      </c>
      <c r="BE125" s="7">
        <f>131682.38+1500</f>
        <v>133182.38</v>
      </c>
      <c r="BF125" s="7"/>
      <c r="BG125" s="7"/>
      <c r="BH125" s="7"/>
      <c r="BI125" s="7"/>
      <c r="BJ125" s="7"/>
      <c r="BK125" s="7"/>
      <c r="BL125" s="7"/>
      <c r="BM125" s="7"/>
      <c r="BN125" s="7"/>
      <c r="BO125" s="7"/>
      <c r="BP125" s="2"/>
      <c r="BQ125" s="8">
        <v>46022</v>
      </c>
      <c r="BR125" s="8"/>
      <c r="BS125" s="8" t="s">
        <v>1744</v>
      </c>
      <c r="BT125" s="14">
        <f t="shared" si="3"/>
        <v>497772.3</v>
      </c>
      <c r="BU125" s="2" t="str">
        <f t="shared" si="4"/>
        <v>OK</v>
      </c>
      <c r="BV125" s="13">
        <f t="shared" si="5"/>
        <v>0</v>
      </c>
    </row>
    <row r="126" spans="1:74" s="9" customFormat="1" ht="123.75" x14ac:dyDescent="0.25">
      <c r="A126" s="2" t="s">
        <v>1435</v>
      </c>
      <c r="B126" s="2" t="s">
        <v>876</v>
      </c>
      <c r="C126" s="2" t="s">
        <v>681</v>
      </c>
      <c r="D126" s="12" t="s">
        <v>877</v>
      </c>
      <c r="E126" s="2"/>
      <c r="F126" s="2" t="s">
        <v>65</v>
      </c>
      <c r="G126" s="2" t="s">
        <v>2028</v>
      </c>
      <c r="H126" s="2" t="s">
        <v>77</v>
      </c>
      <c r="I126" s="2" t="s">
        <v>686</v>
      </c>
      <c r="J126" s="2" t="s">
        <v>1618</v>
      </c>
      <c r="K126" s="2" t="s">
        <v>67</v>
      </c>
      <c r="L126" s="22">
        <v>340358.81</v>
      </c>
      <c r="M126" s="22">
        <v>340358.81</v>
      </c>
      <c r="N126" s="2" t="s">
        <v>1145</v>
      </c>
      <c r="O126" s="7"/>
      <c r="P126" s="7"/>
      <c r="Q126" s="7"/>
      <c r="R126" s="7"/>
      <c r="S126" s="7"/>
      <c r="T126" s="7"/>
      <c r="U126" s="7"/>
      <c r="V126" s="7">
        <v>7618.9</v>
      </c>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v>202971.35</v>
      </c>
      <c r="BE126" s="7">
        <v>129768.56</v>
      </c>
      <c r="BF126" s="7"/>
      <c r="BG126" s="7"/>
      <c r="BH126" s="7"/>
      <c r="BI126" s="7"/>
      <c r="BJ126" s="7"/>
      <c r="BK126" s="7"/>
      <c r="BL126" s="7"/>
      <c r="BM126" s="7"/>
      <c r="BN126" s="7"/>
      <c r="BO126" s="7"/>
      <c r="BP126" s="2"/>
      <c r="BQ126" s="8">
        <v>46022</v>
      </c>
      <c r="BR126" s="8"/>
      <c r="BS126" s="2"/>
      <c r="BT126" s="14">
        <f t="shared" si="3"/>
        <v>340358.81</v>
      </c>
      <c r="BU126" s="2" t="str">
        <f t="shared" si="4"/>
        <v>OK</v>
      </c>
      <c r="BV126" s="13">
        <f t="shared" si="5"/>
        <v>0</v>
      </c>
    </row>
    <row r="127" spans="1:74" s="9" customFormat="1" ht="101.25" hidden="1" x14ac:dyDescent="0.25">
      <c r="A127" s="2" t="s">
        <v>1469</v>
      </c>
      <c r="B127" s="2" t="s">
        <v>813</v>
      </c>
      <c r="C127" s="2" t="s">
        <v>681</v>
      </c>
      <c r="D127" s="12" t="s">
        <v>814</v>
      </c>
      <c r="E127" s="2"/>
      <c r="F127" s="2" t="s">
        <v>65</v>
      </c>
      <c r="G127" s="2" t="s">
        <v>2038</v>
      </c>
      <c r="H127" s="2" t="s">
        <v>77</v>
      </c>
      <c r="I127" s="2" t="s">
        <v>686</v>
      </c>
      <c r="J127" s="2" t="s">
        <v>1618</v>
      </c>
      <c r="K127" s="2" t="s">
        <v>67</v>
      </c>
      <c r="L127" s="16">
        <v>100288.21</v>
      </c>
      <c r="M127" s="11">
        <v>100288.21</v>
      </c>
      <c r="N127" s="2" t="s">
        <v>1140</v>
      </c>
      <c r="O127" s="7">
        <v>0</v>
      </c>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v>50144.1</v>
      </c>
      <c r="BE127" s="7">
        <v>50144.11</v>
      </c>
      <c r="BF127" s="7"/>
      <c r="BG127" s="7"/>
      <c r="BH127" s="7"/>
      <c r="BI127" s="7"/>
      <c r="BJ127" s="7"/>
      <c r="BK127" s="7"/>
      <c r="BL127" s="7"/>
      <c r="BM127" s="7"/>
      <c r="BN127" s="7"/>
      <c r="BO127" s="7"/>
      <c r="BP127" s="2"/>
      <c r="BQ127" s="8">
        <v>46022</v>
      </c>
      <c r="BR127" s="8"/>
      <c r="BS127" s="8" t="s">
        <v>1744</v>
      </c>
      <c r="BT127" s="14">
        <f t="shared" si="3"/>
        <v>100288.20999999999</v>
      </c>
      <c r="BU127" s="2" t="str">
        <f t="shared" si="4"/>
        <v>OK</v>
      </c>
      <c r="BV127" s="13">
        <f t="shared" si="5"/>
        <v>0</v>
      </c>
    </row>
    <row r="128" spans="1:74" s="9" customFormat="1" ht="90" x14ac:dyDescent="0.25">
      <c r="A128" s="2" t="s">
        <v>1436</v>
      </c>
      <c r="B128" s="2" t="s">
        <v>895</v>
      </c>
      <c r="C128" s="2" t="s">
        <v>681</v>
      </c>
      <c r="D128" s="12" t="s">
        <v>896</v>
      </c>
      <c r="E128" s="2"/>
      <c r="F128" s="2" t="s">
        <v>65</v>
      </c>
      <c r="G128" s="2" t="s">
        <v>2028</v>
      </c>
      <c r="H128" s="2" t="s">
        <v>77</v>
      </c>
      <c r="I128" s="2" t="s">
        <v>686</v>
      </c>
      <c r="J128" s="2" t="s">
        <v>1618</v>
      </c>
      <c r="K128" s="2" t="s">
        <v>67</v>
      </c>
      <c r="L128" s="22">
        <v>291138.89</v>
      </c>
      <c r="M128" s="22">
        <v>291138.89</v>
      </c>
      <c r="N128" s="2" t="s">
        <v>1137</v>
      </c>
      <c r="O128" s="7">
        <v>0</v>
      </c>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v>291138.89</v>
      </c>
      <c r="BE128" s="7"/>
      <c r="BF128" s="7"/>
      <c r="BG128" s="7"/>
      <c r="BH128" s="7"/>
      <c r="BI128" s="7"/>
      <c r="BJ128" s="7"/>
      <c r="BK128" s="7"/>
      <c r="BL128" s="7"/>
      <c r="BM128" s="7"/>
      <c r="BN128" s="7"/>
      <c r="BO128" s="7"/>
      <c r="BP128" s="2"/>
      <c r="BQ128" s="8">
        <v>46022</v>
      </c>
      <c r="BR128" s="8"/>
      <c r="BS128" s="8" t="s">
        <v>1746</v>
      </c>
      <c r="BT128" s="14">
        <f t="shared" si="3"/>
        <v>291138.89</v>
      </c>
      <c r="BU128" s="2" t="str">
        <f t="shared" si="4"/>
        <v>OK</v>
      </c>
      <c r="BV128" s="13">
        <f t="shared" si="5"/>
        <v>0</v>
      </c>
    </row>
    <row r="129" spans="1:74" s="9" customFormat="1" ht="90" x14ac:dyDescent="0.25">
      <c r="A129" s="2" t="s">
        <v>1449</v>
      </c>
      <c r="B129" s="2" t="s">
        <v>856</v>
      </c>
      <c r="C129" s="2" t="s">
        <v>681</v>
      </c>
      <c r="D129" s="12" t="s">
        <v>857</v>
      </c>
      <c r="E129" s="2"/>
      <c r="F129" s="2" t="s">
        <v>65</v>
      </c>
      <c r="G129" s="2" t="s">
        <v>2028</v>
      </c>
      <c r="H129" s="2" t="s">
        <v>77</v>
      </c>
      <c r="I129" s="2" t="s">
        <v>686</v>
      </c>
      <c r="J129" s="2" t="s">
        <v>1618</v>
      </c>
      <c r="K129" s="2" t="s">
        <v>67</v>
      </c>
      <c r="L129" s="22">
        <v>150647.66</v>
      </c>
      <c r="M129" s="22">
        <v>150647.66</v>
      </c>
      <c r="N129" s="2" t="s">
        <v>1146</v>
      </c>
      <c r="O129" s="7">
        <v>0</v>
      </c>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v>97920.98</v>
      </c>
      <c r="BE129" s="7">
        <v>52726.68</v>
      </c>
      <c r="BF129" s="7"/>
      <c r="BG129" s="7"/>
      <c r="BH129" s="7"/>
      <c r="BI129" s="7"/>
      <c r="BJ129" s="7"/>
      <c r="BK129" s="7"/>
      <c r="BL129" s="7"/>
      <c r="BM129" s="7"/>
      <c r="BN129" s="7"/>
      <c r="BO129" s="7"/>
      <c r="BP129" s="2"/>
      <c r="BQ129" s="8">
        <v>46022</v>
      </c>
      <c r="BR129" s="8"/>
      <c r="BS129" s="8" t="s">
        <v>1744</v>
      </c>
      <c r="BT129" s="14">
        <f t="shared" si="3"/>
        <v>150647.66</v>
      </c>
      <c r="BU129" s="2" t="str">
        <f t="shared" si="4"/>
        <v>OK</v>
      </c>
      <c r="BV129" s="13">
        <f t="shared" si="5"/>
        <v>0</v>
      </c>
    </row>
    <row r="130" spans="1:74" s="9" customFormat="1" ht="90" hidden="1" x14ac:dyDescent="0.25">
      <c r="A130" s="2" t="s">
        <v>1472</v>
      </c>
      <c r="B130" s="2" t="s">
        <v>955</v>
      </c>
      <c r="C130" s="2" t="s">
        <v>681</v>
      </c>
      <c r="D130" s="12" t="s">
        <v>1645</v>
      </c>
      <c r="E130" s="2" t="s">
        <v>956</v>
      </c>
      <c r="F130" s="2" t="s">
        <v>65</v>
      </c>
      <c r="G130" s="2" t="s">
        <v>2038</v>
      </c>
      <c r="H130" s="2" t="s">
        <v>77</v>
      </c>
      <c r="I130" s="2" t="s">
        <v>686</v>
      </c>
      <c r="J130" s="2" t="s">
        <v>1618</v>
      </c>
      <c r="K130" s="2" t="s">
        <v>67</v>
      </c>
      <c r="L130" s="16">
        <v>72950.36</v>
      </c>
      <c r="M130" s="11">
        <v>72950.36</v>
      </c>
      <c r="N130" s="2" t="s">
        <v>1141</v>
      </c>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f>15632.22</f>
        <v>15632.22</v>
      </c>
      <c r="BE130" s="7">
        <v>57318.14</v>
      </c>
      <c r="BF130" s="7"/>
      <c r="BG130" s="7"/>
      <c r="BH130" s="7"/>
      <c r="BI130" s="7"/>
      <c r="BJ130" s="7"/>
      <c r="BK130" s="7"/>
      <c r="BL130" s="7"/>
      <c r="BM130" s="7"/>
      <c r="BN130" s="7"/>
      <c r="BO130" s="7"/>
      <c r="BP130" s="2"/>
      <c r="BQ130" s="8">
        <v>46022</v>
      </c>
      <c r="BR130" s="8"/>
      <c r="BS130" s="2"/>
      <c r="BT130" s="14">
        <f t="shared" si="3"/>
        <v>72950.36</v>
      </c>
      <c r="BU130" s="2" t="str">
        <f t="shared" si="4"/>
        <v>OK</v>
      </c>
      <c r="BV130" s="13">
        <f t="shared" si="5"/>
        <v>0</v>
      </c>
    </row>
    <row r="131" spans="1:74" s="9" customFormat="1" ht="101.25" hidden="1" x14ac:dyDescent="0.25">
      <c r="A131" s="2" t="s">
        <v>1473</v>
      </c>
      <c r="B131" s="2" t="s">
        <v>815</v>
      </c>
      <c r="C131" s="2" t="s">
        <v>681</v>
      </c>
      <c r="D131" s="12" t="s">
        <v>816</v>
      </c>
      <c r="E131" s="2"/>
      <c r="F131" s="2" t="s">
        <v>65</v>
      </c>
      <c r="G131" s="2" t="s">
        <v>2038</v>
      </c>
      <c r="H131" s="2" t="s">
        <v>77</v>
      </c>
      <c r="I131" s="2" t="s">
        <v>686</v>
      </c>
      <c r="J131" s="2" t="s">
        <v>1618</v>
      </c>
      <c r="K131" s="2" t="s">
        <v>67</v>
      </c>
      <c r="L131" s="16">
        <v>66037.5</v>
      </c>
      <c r="M131" s="11">
        <v>66037.5</v>
      </c>
      <c r="N131" s="2" t="s">
        <v>1140</v>
      </c>
      <c r="O131" s="7">
        <v>0</v>
      </c>
      <c r="P131" s="7"/>
      <c r="Q131" s="7"/>
      <c r="R131" s="7"/>
      <c r="S131" s="7"/>
      <c r="T131" s="7"/>
      <c r="U131" s="7"/>
      <c r="V131" s="7">
        <v>5000</v>
      </c>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v>30518.75</v>
      </c>
      <c r="BE131" s="7">
        <v>30518.75</v>
      </c>
      <c r="BF131" s="7"/>
      <c r="BG131" s="7"/>
      <c r="BH131" s="7"/>
      <c r="BI131" s="7"/>
      <c r="BJ131" s="7"/>
      <c r="BK131" s="7"/>
      <c r="BL131" s="7"/>
      <c r="BM131" s="7"/>
      <c r="BN131" s="7"/>
      <c r="BO131" s="7"/>
      <c r="BP131" s="2"/>
      <c r="BQ131" s="8">
        <v>46022</v>
      </c>
      <c r="BR131" s="8"/>
      <c r="BS131" s="2" t="s">
        <v>1746</v>
      </c>
      <c r="BT131" s="14">
        <f t="shared" si="3"/>
        <v>66037.5</v>
      </c>
      <c r="BU131" s="2" t="str">
        <f t="shared" si="4"/>
        <v>OK</v>
      </c>
      <c r="BV131" s="13">
        <f t="shared" si="5"/>
        <v>0</v>
      </c>
    </row>
    <row r="132" spans="1:74" s="9" customFormat="1" ht="90" hidden="1" x14ac:dyDescent="0.25">
      <c r="A132" s="2" t="s">
        <v>1478</v>
      </c>
      <c r="B132" s="2" t="s">
        <v>984</v>
      </c>
      <c r="C132" s="2" t="s">
        <v>681</v>
      </c>
      <c r="D132" s="12" t="s">
        <v>1646</v>
      </c>
      <c r="E132" s="2" t="s">
        <v>985</v>
      </c>
      <c r="F132" s="2" t="s">
        <v>65</v>
      </c>
      <c r="G132" s="2" t="s">
        <v>2038</v>
      </c>
      <c r="H132" s="2" t="s">
        <v>77</v>
      </c>
      <c r="I132" s="2" t="s">
        <v>686</v>
      </c>
      <c r="J132" s="2" t="s">
        <v>1618</v>
      </c>
      <c r="K132" s="2" t="s">
        <v>67</v>
      </c>
      <c r="L132" s="16">
        <v>54712.77</v>
      </c>
      <c r="M132" s="11">
        <v>54712.77</v>
      </c>
      <c r="N132" s="2" t="s">
        <v>1141</v>
      </c>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v>27356.38</v>
      </c>
      <c r="BE132" s="7">
        <v>27356.39</v>
      </c>
      <c r="BF132" s="7"/>
      <c r="BG132" s="7"/>
      <c r="BH132" s="7"/>
      <c r="BI132" s="7"/>
      <c r="BJ132" s="7"/>
      <c r="BK132" s="7"/>
      <c r="BL132" s="7"/>
      <c r="BM132" s="7"/>
      <c r="BN132" s="7"/>
      <c r="BO132" s="7"/>
      <c r="BP132" s="2"/>
      <c r="BQ132" s="8">
        <v>46022</v>
      </c>
      <c r="BR132" s="8"/>
      <c r="BS132" s="2" t="s">
        <v>1745</v>
      </c>
      <c r="BT132" s="14">
        <f t="shared" si="3"/>
        <v>54712.770000000004</v>
      </c>
      <c r="BU132" s="2" t="str">
        <f t="shared" si="4"/>
        <v>OK</v>
      </c>
      <c r="BV132" s="13">
        <f t="shared" si="5"/>
        <v>0</v>
      </c>
    </row>
    <row r="133" spans="1:74" s="9" customFormat="1" ht="90" x14ac:dyDescent="0.25">
      <c r="A133" s="2" t="s">
        <v>1458</v>
      </c>
      <c r="B133" s="2" t="s">
        <v>919</v>
      </c>
      <c r="C133" s="2" t="s">
        <v>681</v>
      </c>
      <c r="D133" s="12" t="s">
        <v>920</v>
      </c>
      <c r="E133" s="2"/>
      <c r="F133" s="2" t="s">
        <v>65</v>
      </c>
      <c r="G133" s="2" t="s">
        <v>2028</v>
      </c>
      <c r="H133" s="2" t="s">
        <v>77</v>
      </c>
      <c r="I133" s="2" t="s">
        <v>686</v>
      </c>
      <c r="J133" s="2" t="s">
        <v>1618</v>
      </c>
      <c r="K133" s="2" t="s">
        <v>67</v>
      </c>
      <c r="L133" s="22">
        <v>113693.99</v>
      </c>
      <c r="M133" s="22">
        <v>113693.99</v>
      </c>
      <c r="N133" s="2" t="s">
        <v>1140</v>
      </c>
      <c r="O133" s="7">
        <v>0</v>
      </c>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v>37519.019999999997</v>
      </c>
      <c r="BE133" s="7">
        <v>76174.97</v>
      </c>
      <c r="BF133" s="7"/>
      <c r="BG133" s="7"/>
      <c r="BH133" s="7"/>
      <c r="BI133" s="7"/>
      <c r="BJ133" s="7"/>
      <c r="BK133" s="7"/>
      <c r="BL133" s="7"/>
      <c r="BM133" s="7"/>
      <c r="BN133" s="7"/>
      <c r="BO133" s="7"/>
      <c r="BP133" s="2"/>
      <c r="BQ133" s="8">
        <v>46022</v>
      </c>
      <c r="BR133" s="8"/>
      <c r="BS133" s="8" t="s">
        <v>1744</v>
      </c>
      <c r="BT133" s="14">
        <f t="shared" ref="BT133:BT140" si="6">SUM(O133:BO133)</f>
        <v>113693.98999999999</v>
      </c>
      <c r="BU133" s="2" t="str">
        <f t="shared" ref="BU133:BU196" si="7">IF(M133=BT133,"OK","CORRIGIR")</f>
        <v>OK</v>
      </c>
      <c r="BV133" s="13">
        <f t="shared" ref="BV133:BV196" si="8">M133-BT133</f>
        <v>0</v>
      </c>
    </row>
    <row r="134" spans="1:74" s="9" customFormat="1" ht="90" hidden="1" x14ac:dyDescent="0.25">
      <c r="A134" s="2" t="s">
        <v>1481</v>
      </c>
      <c r="B134" s="2" t="s">
        <v>950</v>
      </c>
      <c r="C134" s="2" t="s">
        <v>681</v>
      </c>
      <c r="D134" s="12" t="s">
        <v>1647</v>
      </c>
      <c r="E134" s="2" t="s">
        <v>951</v>
      </c>
      <c r="F134" s="2" t="s">
        <v>65</v>
      </c>
      <c r="G134" s="2" t="s">
        <v>2038</v>
      </c>
      <c r="H134" s="2" t="s">
        <v>77</v>
      </c>
      <c r="I134" s="2" t="s">
        <v>686</v>
      </c>
      <c r="J134" s="2" t="s">
        <v>1618</v>
      </c>
      <c r="K134" s="2" t="s">
        <v>67</v>
      </c>
      <c r="L134" s="16">
        <v>49502.03</v>
      </c>
      <c r="M134" s="11">
        <v>49502.03</v>
      </c>
      <c r="N134" s="2" t="s">
        <v>1141</v>
      </c>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v>15231.39</v>
      </c>
      <c r="BE134" s="7">
        <v>34270.639999999999</v>
      </c>
      <c r="BF134" s="7"/>
      <c r="BG134" s="7"/>
      <c r="BH134" s="7"/>
      <c r="BI134" s="7"/>
      <c r="BJ134" s="7"/>
      <c r="BK134" s="7"/>
      <c r="BL134" s="7"/>
      <c r="BM134" s="7"/>
      <c r="BN134" s="7"/>
      <c r="BO134" s="7"/>
      <c r="BP134" s="2"/>
      <c r="BQ134" s="8">
        <v>46022</v>
      </c>
      <c r="BR134" s="8"/>
      <c r="BS134" s="8" t="s">
        <v>1749</v>
      </c>
      <c r="BT134" s="14">
        <f t="shared" si="6"/>
        <v>49502.03</v>
      </c>
      <c r="BU134" s="2" t="str">
        <f t="shared" si="7"/>
        <v>OK</v>
      </c>
      <c r="BV134" s="13">
        <f t="shared" si="8"/>
        <v>0</v>
      </c>
    </row>
    <row r="135" spans="1:74" s="9" customFormat="1" ht="90" x14ac:dyDescent="0.25">
      <c r="A135" s="2" t="s">
        <v>1468</v>
      </c>
      <c r="B135" s="2" t="s">
        <v>928</v>
      </c>
      <c r="C135" s="2" t="s">
        <v>681</v>
      </c>
      <c r="D135" s="12" t="s">
        <v>929</v>
      </c>
      <c r="E135" s="2"/>
      <c r="F135" s="2" t="s">
        <v>65</v>
      </c>
      <c r="G135" s="2" t="s">
        <v>2028</v>
      </c>
      <c r="H135" s="2" t="s">
        <v>77</v>
      </c>
      <c r="I135" s="2" t="s">
        <v>686</v>
      </c>
      <c r="J135" s="2" t="s">
        <v>1618</v>
      </c>
      <c r="K135" s="2" t="s">
        <v>67</v>
      </c>
      <c r="L135" s="22">
        <v>101746.69</v>
      </c>
      <c r="M135" s="22">
        <v>101746.69</v>
      </c>
      <c r="N135" s="2" t="s">
        <v>1140</v>
      </c>
      <c r="O135" s="7">
        <v>0</v>
      </c>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v>71222.679999999993</v>
      </c>
      <c r="BE135" s="7">
        <v>30524.01</v>
      </c>
      <c r="BF135" s="7"/>
      <c r="BG135" s="7"/>
      <c r="BH135" s="7"/>
      <c r="BI135" s="7"/>
      <c r="BJ135" s="7"/>
      <c r="BK135" s="7"/>
      <c r="BL135" s="7"/>
      <c r="BM135" s="7"/>
      <c r="BN135" s="7"/>
      <c r="BO135" s="7"/>
      <c r="BP135" s="2"/>
      <c r="BQ135" s="8">
        <v>46022</v>
      </c>
      <c r="BR135" s="8"/>
      <c r="BS135" s="8" t="s">
        <v>1749</v>
      </c>
      <c r="BT135" s="14">
        <f t="shared" si="6"/>
        <v>101746.68999999999</v>
      </c>
      <c r="BU135" s="2" t="str">
        <f t="shared" si="7"/>
        <v>OK</v>
      </c>
      <c r="BV135" s="13">
        <f t="shared" si="8"/>
        <v>0</v>
      </c>
    </row>
    <row r="136" spans="1:74" s="9" customFormat="1" ht="45" hidden="1" x14ac:dyDescent="0.25">
      <c r="A136" s="2" t="s">
        <v>1486</v>
      </c>
      <c r="B136" s="2" t="s">
        <v>982</v>
      </c>
      <c r="C136" s="2" t="s">
        <v>681</v>
      </c>
      <c r="D136" s="12" t="s">
        <v>1648</v>
      </c>
      <c r="E136" s="2" t="s">
        <v>983</v>
      </c>
      <c r="F136" s="2" t="s">
        <v>65</v>
      </c>
      <c r="G136" s="2" t="s">
        <v>2038</v>
      </c>
      <c r="H136" s="2" t="s">
        <v>77</v>
      </c>
      <c r="I136" s="2" t="s">
        <v>686</v>
      </c>
      <c r="J136" s="2" t="s">
        <v>1618</v>
      </c>
      <c r="K136" s="2" t="s">
        <v>67</v>
      </c>
      <c r="L136" s="16">
        <v>39080.550000000003</v>
      </c>
      <c r="M136" s="11">
        <v>39080.550000000003</v>
      </c>
      <c r="N136" s="2" t="s">
        <v>49</v>
      </c>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v>0</v>
      </c>
      <c r="BE136" s="7">
        <v>39080.550000000003</v>
      </c>
      <c r="BF136" s="7"/>
      <c r="BG136" s="7"/>
      <c r="BH136" s="7"/>
      <c r="BI136" s="7"/>
      <c r="BJ136" s="7"/>
      <c r="BK136" s="7"/>
      <c r="BL136" s="7"/>
      <c r="BM136" s="7"/>
      <c r="BN136" s="7"/>
      <c r="BO136" s="7"/>
      <c r="BP136" s="2"/>
      <c r="BQ136" s="8">
        <v>46022</v>
      </c>
      <c r="BR136" s="8"/>
      <c r="BS136" s="2" t="s">
        <v>1745</v>
      </c>
      <c r="BT136" s="14">
        <f t="shared" si="6"/>
        <v>39080.550000000003</v>
      </c>
      <c r="BU136" s="2" t="str">
        <f t="shared" si="7"/>
        <v>OK</v>
      </c>
      <c r="BV136" s="13">
        <f t="shared" si="8"/>
        <v>0</v>
      </c>
    </row>
    <row r="137" spans="1:74" s="9" customFormat="1" ht="90" x14ac:dyDescent="0.25">
      <c r="A137" s="2" t="s">
        <v>1470</v>
      </c>
      <c r="B137" s="2" t="s">
        <v>840</v>
      </c>
      <c r="C137" s="2" t="s">
        <v>681</v>
      </c>
      <c r="D137" s="12" t="s">
        <v>841</v>
      </c>
      <c r="E137" s="2"/>
      <c r="F137" s="2" t="s">
        <v>65</v>
      </c>
      <c r="G137" s="2" t="s">
        <v>2028</v>
      </c>
      <c r="H137" s="2" t="s">
        <v>77</v>
      </c>
      <c r="I137" s="2" t="s">
        <v>686</v>
      </c>
      <c r="J137" s="2" t="s">
        <v>1618</v>
      </c>
      <c r="K137" s="2" t="s">
        <v>67</v>
      </c>
      <c r="L137" s="22">
        <v>89025.82</v>
      </c>
      <c r="M137" s="22">
        <v>89025.82</v>
      </c>
      <c r="N137" s="2" t="s">
        <v>1140</v>
      </c>
      <c r="O137" s="7">
        <v>0</v>
      </c>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v>44512.91</v>
      </c>
      <c r="BE137" s="7">
        <v>44512.91</v>
      </c>
      <c r="BF137" s="7"/>
      <c r="BG137" s="7"/>
      <c r="BH137" s="7"/>
      <c r="BI137" s="7"/>
      <c r="BJ137" s="7"/>
      <c r="BK137" s="7"/>
      <c r="BL137" s="7"/>
      <c r="BM137" s="7"/>
      <c r="BN137" s="7"/>
      <c r="BO137" s="7"/>
      <c r="BP137" s="2"/>
      <c r="BQ137" s="8">
        <v>46022</v>
      </c>
      <c r="BR137" s="8"/>
      <c r="BS137" s="8" t="s">
        <v>1749</v>
      </c>
      <c r="BT137" s="14">
        <f t="shared" si="6"/>
        <v>89025.82</v>
      </c>
      <c r="BU137" s="2" t="str">
        <f t="shared" si="7"/>
        <v>OK</v>
      </c>
      <c r="BV137" s="13">
        <f t="shared" si="8"/>
        <v>0</v>
      </c>
    </row>
    <row r="138" spans="1:74" s="9" customFormat="1" ht="90" x14ac:dyDescent="0.25">
      <c r="A138" s="2" t="s">
        <v>1471</v>
      </c>
      <c r="B138" s="2" t="s">
        <v>917</v>
      </c>
      <c r="C138" s="2" t="s">
        <v>681</v>
      </c>
      <c r="D138" s="12" t="s">
        <v>918</v>
      </c>
      <c r="E138" s="2"/>
      <c r="F138" s="2" t="s">
        <v>65</v>
      </c>
      <c r="G138" s="2" t="s">
        <v>2028</v>
      </c>
      <c r="H138" s="2" t="s">
        <v>77</v>
      </c>
      <c r="I138" s="2" t="s">
        <v>686</v>
      </c>
      <c r="J138" s="2" t="s">
        <v>1618</v>
      </c>
      <c r="K138" s="2" t="s">
        <v>67</v>
      </c>
      <c r="L138" s="22">
        <v>86809.14</v>
      </c>
      <c r="M138" s="22">
        <v>86809.14</v>
      </c>
      <c r="N138" s="2" t="s">
        <v>1140</v>
      </c>
      <c r="O138" s="7">
        <v>0</v>
      </c>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v>32987.47</v>
      </c>
      <c r="BE138" s="7">
        <v>53821.67</v>
      </c>
      <c r="BF138" s="7"/>
      <c r="BG138" s="7"/>
      <c r="BH138" s="7"/>
      <c r="BI138" s="7"/>
      <c r="BJ138" s="7"/>
      <c r="BK138" s="7"/>
      <c r="BL138" s="7"/>
      <c r="BM138" s="7"/>
      <c r="BN138" s="7"/>
      <c r="BO138" s="7"/>
      <c r="BP138" s="2"/>
      <c r="BQ138" s="8">
        <v>46022</v>
      </c>
      <c r="BR138" s="8"/>
      <c r="BS138" s="8" t="s">
        <v>1749</v>
      </c>
      <c r="BT138" s="14">
        <f t="shared" si="6"/>
        <v>86809.14</v>
      </c>
      <c r="BU138" s="2" t="str">
        <f t="shared" si="7"/>
        <v>OK</v>
      </c>
      <c r="BV138" s="13">
        <f t="shared" si="8"/>
        <v>0</v>
      </c>
    </row>
    <row r="139" spans="1:74" s="9" customFormat="1" ht="45" hidden="1" x14ac:dyDescent="0.25">
      <c r="A139" s="2" t="s">
        <v>1489</v>
      </c>
      <c r="B139" s="2" t="s">
        <v>973</v>
      </c>
      <c r="C139" s="2" t="s">
        <v>681</v>
      </c>
      <c r="D139" s="12" t="s">
        <v>1649</v>
      </c>
      <c r="E139" s="2" t="s">
        <v>974</v>
      </c>
      <c r="F139" s="2" t="s">
        <v>65</v>
      </c>
      <c r="G139" s="2" t="s">
        <v>2038</v>
      </c>
      <c r="H139" s="2" t="s">
        <v>77</v>
      </c>
      <c r="I139" s="2" t="s">
        <v>686</v>
      </c>
      <c r="J139" s="2" t="s">
        <v>1618</v>
      </c>
      <c r="K139" s="2" t="s">
        <v>67</v>
      </c>
      <c r="L139" s="16">
        <v>31264.44</v>
      </c>
      <c r="M139" s="11">
        <v>31264.44</v>
      </c>
      <c r="N139" s="2" t="s">
        <v>49</v>
      </c>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v>0</v>
      </c>
      <c r="BE139" s="7">
        <v>31264.44</v>
      </c>
      <c r="BF139" s="7"/>
      <c r="BG139" s="7"/>
      <c r="BH139" s="7"/>
      <c r="BI139" s="7"/>
      <c r="BJ139" s="7"/>
      <c r="BK139" s="7"/>
      <c r="BL139" s="7"/>
      <c r="BM139" s="7"/>
      <c r="BN139" s="7"/>
      <c r="BO139" s="7"/>
      <c r="BP139" s="2"/>
      <c r="BQ139" s="8">
        <v>46022</v>
      </c>
      <c r="BR139" s="8"/>
      <c r="BS139" s="8" t="s">
        <v>1744</v>
      </c>
      <c r="BT139" s="14">
        <f t="shared" si="6"/>
        <v>31264.44</v>
      </c>
      <c r="BU139" s="2" t="str">
        <f t="shared" si="7"/>
        <v>OK</v>
      </c>
      <c r="BV139" s="13">
        <f t="shared" si="8"/>
        <v>0</v>
      </c>
    </row>
    <row r="140" spans="1:74" s="9" customFormat="1" ht="90" x14ac:dyDescent="0.25">
      <c r="A140" s="2" t="s">
        <v>1480</v>
      </c>
      <c r="B140" s="2" t="s">
        <v>915</v>
      </c>
      <c r="C140" s="2" t="s">
        <v>681</v>
      </c>
      <c r="D140" s="12" t="s">
        <v>916</v>
      </c>
      <c r="E140" s="2"/>
      <c r="F140" s="2" t="s">
        <v>65</v>
      </c>
      <c r="G140" s="2" t="s">
        <v>2028</v>
      </c>
      <c r="H140" s="2" t="s">
        <v>77</v>
      </c>
      <c r="I140" s="2" t="s">
        <v>686</v>
      </c>
      <c r="J140" s="2" t="s">
        <v>1618</v>
      </c>
      <c r="K140" s="2" t="s">
        <v>67</v>
      </c>
      <c r="L140" s="22">
        <v>53570.47</v>
      </c>
      <c r="M140" s="22">
        <v>53570.47</v>
      </c>
      <c r="N140" s="2" t="s">
        <v>1140</v>
      </c>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v>40713.56</v>
      </c>
      <c r="BE140" s="7">
        <v>12856.91</v>
      </c>
      <c r="BF140" s="7"/>
      <c r="BG140" s="7"/>
      <c r="BH140" s="7"/>
      <c r="BI140" s="7"/>
      <c r="BJ140" s="7"/>
      <c r="BK140" s="7"/>
      <c r="BL140" s="7"/>
      <c r="BM140" s="7"/>
      <c r="BN140" s="7"/>
      <c r="BO140" s="7"/>
      <c r="BP140" s="2"/>
      <c r="BQ140" s="8">
        <v>46022</v>
      </c>
      <c r="BR140" s="8"/>
      <c r="BS140" s="8" t="s">
        <v>1746</v>
      </c>
      <c r="BT140" s="14">
        <f t="shared" si="6"/>
        <v>53570.47</v>
      </c>
      <c r="BU140" s="2" t="str">
        <f t="shared" si="7"/>
        <v>OK</v>
      </c>
      <c r="BV140" s="13">
        <f t="shared" si="8"/>
        <v>0</v>
      </c>
    </row>
    <row r="141" spans="1:74" s="9" customFormat="1" ht="101.25" hidden="1" x14ac:dyDescent="0.25">
      <c r="A141" s="2" t="s">
        <v>1491</v>
      </c>
      <c r="B141" s="2" t="s">
        <v>807</v>
      </c>
      <c r="C141" s="2" t="s">
        <v>681</v>
      </c>
      <c r="D141" s="12" t="s">
        <v>808</v>
      </c>
      <c r="E141" s="2"/>
      <c r="F141" s="2" t="s">
        <v>65</v>
      </c>
      <c r="G141" s="2" t="s">
        <v>2038</v>
      </c>
      <c r="H141" s="2" t="s">
        <v>77</v>
      </c>
      <c r="I141" s="2" t="s">
        <v>686</v>
      </c>
      <c r="J141" s="2" t="s">
        <v>1618</v>
      </c>
      <c r="K141" s="2" t="s">
        <v>67</v>
      </c>
      <c r="L141" s="16">
        <v>30027.45</v>
      </c>
      <c r="M141" s="11">
        <v>30027.45</v>
      </c>
      <c r="N141" s="2" t="s">
        <v>1140</v>
      </c>
      <c r="O141" s="7">
        <v>0</v>
      </c>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f>30027.46/2</f>
        <v>15013.73</v>
      </c>
      <c r="BE141" s="7">
        <f>30027.46/2</f>
        <v>15013.73</v>
      </c>
      <c r="BF141" s="7"/>
      <c r="BG141" s="7"/>
      <c r="BH141" s="7"/>
      <c r="BI141" s="7"/>
      <c r="BJ141" s="7"/>
      <c r="BK141" s="7"/>
      <c r="BL141" s="7"/>
      <c r="BM141" s="7"/>
      <c r="BN141" s="7"/>
      <c r="BO141" s="7"/>
      <c r="BP141" s="2"/>
      <c r="BQ141" s="8">
        <v>46022</v>
      </c>
      <c r="BR141" s="8"/>
      <c r="BS141" s="2"/>
      <c r="BT141" s="14">
        <f t="shared" ref="BT141:BT204" si="9">SUM(O141:BO141)</f>
        <v>30027.46</v>
      </c>
      <c r="BU141" s="2" t="str">
        <f t="shared" si="7"/>
        <v>CORRIGIR</v>
      </c>
      <c r="BV141" s="13">
        <f t="shared" si="8"/>
        <v>-9.9999999983992893E-3</v>
      </c>
    </row>
    <row r="142" spans="1:74" s="9" customFormat="1" ht="101.25" x14ac:dyDescent="0.25">
      <c r="A142" s="2" t="s">
        <v>1485</v>
      </c>
      <c r="B142" s="2" t="s">
        <v>846</v>
      </c>
      <c r="C142" s="2" t="s">
        <v>681</v>
      </c>
      <c r="D142" s="12" t="s">
        <v>847</v>
      </c>
      <c r="E142" s="2"/>
      <c r="F142" s="2" t="s">
        <v>65</v>
      </c>
      <c r="G142" s="2" t="s">
        <v>2028</v>
      </c>
      <c r="H142" s="2" t="s">
        <v>77</v>
      </c>
      <c r="I142" s="2" t="s">
        <v>686</v>
      </c>
      <c r="J142" s="2" t="s">
        <v>1618</v>
      </c>
      <c r="K142" s="2" t="s">
        <v>67</v>
      </c>
      <c r="L142" s="22">
        <v>39416.559999999998</v>
      </c>
      <c r="M142" s="22">
        <v>39416.559999999998</v>
      </c>
      <c r="N142" s="2" t="s">
        <v>1143</v>
      </c>
      <c r="O142" s="7">
        <v>0</v>
      </c>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v>19708.28</v>
      </c>
      <c r="BE142" s="7">
        <v>19708.28</v>
      </c>
      <c r="BF142" s="7"/>
      <c r="BG142" s="7"/>
      <c r="BH142" s="7"/>
      <c r="BI142" s="7"/>
      <c r="BJ142" s="7"/>
      <c r="BK142" s="7"/>
      <c r="BL142" s="7"/>
      <c r="BM142" s="7"/>
      <c r="BN142" s="7"/>
      <c r="BO142" s="7"/>
      <c r="BP142" s="2"/>
      <c r="BQ142" s="8">
        <v>46022</v>
      </c>
      <c r="BR142" s="8"/>
      <c r="BS142" s="2" t="s">
        <v>1745</v>
      </c>
      <c r="BT142" s="14">
        <f t="shared" si="9"/>
        <v>39416.559999999998</v>
      </c>
      <c r="BU142" s="2" t="str">
        <f t="shared" si="7"/>
        <v>OK</v>
      </c>
      <c r="BV142" s="13">
        <f t="shared" si="8"/>
        <v>0</v>
      </c>
    </row>
    <row r="143" spans="1:74" s="9" customFormat="1" ht="90" x14ac:dyDescent="0.25">
      <c r="A143" s="2" t="s">
        <v>1488</v>
      </c>
      <c r="B143" s="2" t="s">
        <v>835</v>
      </c>
      <c r="C143" s="2" t="s">
        <v>681</v>
      </c>
      <c r="D143" s="12" t="s">
        <v>836</v>
      </c>
      <c r="E143" s="2"/>
      <c r="F143" s="2" t="s">
        <v>65</v>
      </c>
      <c r="G143" s="2" t="s">
        <v>2028</v>
      </c>
      <c r="H143" s="2" t="s">
        <v>77</v>
      </c>
      <c r="I143" s="2" t="s">
        <v>686</v>
      </c>
      <c r="J143" s="2" t="s">
        <v>1618</v>
      </c>
      <c r="K143" s="2" t="s">
        <v>67</v>
      </c>
      <c r="L143" s="22">
        <v>32823.03</v>
      </c>
      <c r="M143" s="22">
        <v>32823.03</v>
      </c>
      <c r="N143" s="2" t="s">
        <v>1140</v>
      </c>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v>20350.28</v>
      </c>
      <c r="BE143" s="7">
        <v>12472.75</v>
      </c>
      <c r="BF143" s="7"/>
      <c r="BG143" s="7"/>
      <c r="BH143" s="7"/>
      <c r="BI143" s="7"/>
      <c r="BJ143" s="7"/>
      <c r="BK143" s="7"/>
      <c r="BL143" s="7"/>
      <c r="BM143" s="7"/>
      <c r="BN143" s="7"/>
      <c r="BO143" s="7"/>
      <c r="BP143" s="2"/>
      <c r="BQ143" s="8">
        <v>46022</v>
      </c>
      <c r="BR143" s="8"/>
      <c r="BS143" s="2" t="s">
        <v>1745</v>
      </c>
      <c r="BT143" s="14">
        <f t="shared" si="9"/>
        <v>32823.03</v>
      </c>
      <c r="BU143" s="2" t="str">
        <f t="shared" si="7"/>
        <v>OK</v>
      </c>
      <c r="BV143" s="13">
        <f t="shared" si="8"/>
        <v>0</v>
      </c>
    </row>
    <row r="144" spans="1:74" s="9" customFormat="1" ht="90" x14ac:dyDescent="0.25">
      <c r="A144" s="2" t="s">
        <v>1490</v>
      </c>
      <c r="B144" s="2" t="s">
        <v>844</v>
      </c>
      <c r="C144" s="2" t="s">
        <v>681</v>
      </c>
      <c r="D144" s="12" t="s">
        <v>845</v>
      </c>
      <c r="E144" s="2"/>
      <c r="F144" s="2" t="s">
        <v>65</v>
      </c>
      <c r="G144" s="2" t="s">
        <v>2028</v>
      </c>
      <c r="H144" s="2" t="s">
        <v>77</v>
      </c>
      <c r="I144" s="2" t="s">
        <v>686</v>
      </c>
      <c r="J144" s="2" t="s">
        <v>1618</v>
      </c>
      <c r="K144" s="2" t="s">
        <v>67</v>
      </c>
      <c r="L144" s="22">
        <v>30497.25</v>
      </c>
      <c r="M144" s="22">
        <v>30497.25</v>
      </c>
      <c r="N144" s="2" t="s">
        <v>1146</v>
      </c>
      <c r="O144" s="7">
        <v>0</v>
      </c>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v>12808.84</v>
      </c>
      <c r="BE144" s="7">
        <v>17688.41</v>
      </c>
      <c r="BF144" s="7"/>
      <c r="BG144" s="7"/>
      <c r="BH144" s="7"/>
      <c r="BI144" s="7"/>
      <c r="BJ144" s="7"/>
      <c r="BK144" s="7"/>
      <c r="BL144" s="7"/>
      <c r="BM144" s="7"/>
      <c r="BN144" s="7"/>
      <c r="BO144" s="7"/>
      <c r="BP144" s="2"/>
      <c r="BQ144" s="8">
        <v>46022</v>
      </c>
      <c r="BR144" s="8"/>
      <c r="BS144" s="8" t="s">
        <v>1749</v>
      </c>
      <c r="BT144" s="14">
        <f t="shared" si="9"/>
        <v>30497.25</v>
      </c>
      <c r="BU144" s="2" t="str">
        <f t="shared" si="7"/>
        <v>OK</v>
      </c>
      <c r="BV144" s="13">
        <f t="shared" si="8"/>
        <v>0</v>
      </c>
    </row>
    <row r="145" spans="1:74" s="9" customFormat="1" ht="90" x14ac:dyDescent="0.25">
      <c r="A145" s="2" t="s">
        <v>1492</v>
      </c>
      <c r="B145" s="2" t="s">
        <v>833</v>
      </c>
      <c r="C145" s="2" t="s">
        <v>681</v>
      </c>
      <c r="D145" s="12" t="s">
        <v>834</v>
      </c>
      <c r="E145" s="2"/>
      <c r="F145" s="2" t="s">
        <v>65</v>
      </c>
      <c r="G145" s="2" t="s">
        <v>2028</v>
      </c>
      <c r="H145" s="2" t="s">
        <v>77</v>
      </c>
      <c r="I145" s="2" t="s">
        <v>686</v>
      </c>
      <c r="J145" s="2" t="s">
        <v>1618</v>
      </c>
      <c r="K145" s="2" t="s">
        <v>67</v>
      </c>
      <c r="L145" s="22">
        <v>27799.52</v>
      </c>
      <c r="M145" s="22">
        <v>27799.52</v>
      </c>
      <c r="N145" s="2" t="s">
        <v>1140</v>
      </c>
      <c r="O145" s="7">
        <v>0</v>
      </c>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v>18903.669999999998</v>
      </c>
      <c r="BE145" s="7">
        <v>8895.85</v>
      </c>
      <c r="BF145" s="7"/>
      <c r="BG145" s="7"/>
      <c r="BH145" s="7"/>
      <c r="BI145" s="7"/>
      <c r="BJ145" s="7"/>
      <c r="BK145" s="7"/>
      <c r="BL145" s="7"/>
      <c r="BM145" s="7"/>
      <c r="BN145" s="7"/>
      <c r="BO145" s="7"/>
      <c r="BP145" s="2"/>
      <c r="BQ145" s="8">
        <v>46022</v>
      </c>
      <c r="BR145" s="8"/>
      <c r="BS145" s="2" t="s">
        <v>1744</v>
      </c>
      <c r="BT145" s="14">
        <f t="shared" si="9"/>
        <v>27799.519999999997</v>
      </c>
      <c r="BU145" s="2" t="str">
        <f t="shared" si="7"/>
        <v>OK</v>
      </c>
      <c r="BV145" s="13">
        <f t="shared" si="8"/>
        <v>0</v>
      </c>
    </row>
    <row r="146" spans="1:74" s="9" customFormat="1" ht="90" x14ac:dyDescent="0.25">
      <c r="A146" s="2" t="s">
        <v>1495</v>
      </c>
      <c r="B146" s="2" t="s">
        <v>842</v>
      </c>
      <c r="C146" s="2" t="s">
        <v>681</v>
      </c>
      <c r="D146" s="12" t="s">
        <v>843</v>
      </c>
      <c r="E146" s="2"/>
      <c r="F146" s="2" t="s">
        <v>65</v>
      </c>
      <c r="G146" s="2" t="s">
        <v>2028</v>
      </c>
      <c r="H146" s="2" t="s">
        <v>77</v>
      </c>
      <c r="I146" s="2" t="s">
        <v>686</v>
      </c>
      <c r="J146" s="2" t="s">
        <v>1618</v>
      </c>
      <c r="K146" s="2" t="s">
        <v>67</v>
      </c>
      <c r="L146" s="22">
        <v>24149.95</v>
      </c>
      <c r="M146" s="22">
        <v>24149.95</v>
      </c>
      <c r="N146" s="2" t="s">
        <v>1140</v>
      </c>
      <c r="O146" s="7">
        <v>0</v>
      </c>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v>18595.46</v>
      </c>
      <c r="BE146" s="7">
        <v>5554.49</v>
      </c>
      <c r="BF146" s="7"/>
      <c r="BG146" s="7"/>
      <c r="BH146" s="7"/>
      <c r="BI146" s="7"/>
      <c r="BJ146" s="7"/>
      <c r="BK146" s="7"/>
      <c r="BL146" s="7"/>
      <c r="BM146" s="7"/>
      <c r="BN146" s="7"/>
      <c r="BO146" s="7"/>
      <c r="BP146" s="2"/>
      <c r="BQ146" s="8">
        <v>46022</v>
      </c>
      <c r="BR146" s="8"/>
      <c r="BS146" s="8" t="s">
        <v>1744</v>
      </c>
      <c r="BT146" s="14">
        <f t="shared" si="9"/>
        <v>24149.949999999997</v>
      </c>
      <c r="BU146" s="2" t="str">
        <f t="shared" si="7"/>
        <v>OK</v>
      </c>
      <c r="BV146" s="13">
        <f t="shared" si="8"/>
        <v>0</v>
      </c>
    </row>
    <row r="147" spans="1:74" s="9" customFormat="1" ht="90" x14ac:dyDescent="0.25">
      <c r="A147" s="2" t="s">
        <v>1496</v>
      </c>
      <c r="B147" s="2" t="s">
        <v>860</v>
      </c>
      <c r="C147" s="2" t="s">
        <v>681</v>
      </c>
      <c r="D147" s="12" t="s">
        <v>861</v>
      </c>
      <c r="E147" s="2"/>
      <c r="F147" s="2" t="s">
        <v>65</v>
      </c>
      <c r="G147" s="2" t="s">
        <v>2028</v>
      </c>
      <c r="H147" s="2" t="s">
        <v>77</v>
      </c>
      <c r="I147" s="2" t="s">
        <v>686</v>
      </c>
      <c r="J147" s="2" t="s">
        <v>1618</v>
      </c>
      <c r="K147" s="2" t="s">
        <v>67</v>
      </c>
      <c r="L147" s="22">
        <v>23044.560000000001</v>
      </c>
      <c r="M147" s="22">
        <v>23044.560000000001</v>
      </c>
      <c r="N147" s="2" t="s">
        <v>1146</v>
      </c>
      <c r="O147" s="7">
        <v>0</v>
      </c>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v>11983.17</v>
      </c>
      <c r="BE147" s="7">
        <v>11061.39</v>
      </c>
      <c r="BF147" s="7"/>
      <c r="BG147" s="7"/>
      <c r="BH147" s="7"/>
      <c r="BI147" s="7"/>
      <c r="BJ147" s="7"/>
      <c r="BK147" s="7"/>
      <c r="BL147" s="7"/>
      <c r="BM147" s="7"/>
      <c r="BN147" s="7"/>
      <c r="BO147" s="7"/>
      <c r="BP147" s="2"/>
      <c r="BQ147" s="8">
        <v>46022</v>
      </c>
      <c r="BR147" s="8"/>
      <c r="BS147" s="8" t="s">
        <v>1749</v>
      </c>
      <c r="BT147" s="14">
        <f t="shared" si="9"/>
        <v>23044.559999999998</v>
      </c>
      <c r="BU147" s="2" t="str">
        <f t="shared" si="7"/>
        <v>OK</v>
      </c>
      <c r="BV147" s="13">
        <f t="shared" si="8"/>
        <v>0</v>
      </c>
    </row>
    <row r="148" spans="1:74" s="9" customFormat="1" ht="45" hidden="1" x14ac:dyDescent="0.25">
      <c r="A148" s="2" t="s">
        <v>1502</v>
      </c>
      <c r="B148" s="2" t="s">
        <v>971</v>
      </c>
      <c r="C148" s="2" t="s">
        <v>681</v>
      </c>
      <c r="D148" s="12" t="s">
        <v>1650</v>
      </c>
      <c r="E148" s="2" t="s">
        <v>972</v>
      </c>
      <c r="F148" s="2" t="s">
        <v>65</v>
      </c>
      <c r="G148" s="2" t="s">
        <v>2038</v>
      </c>
      <c r="H148" s="2" t="s">
        <v>77</v>
      </c>
      <c r="I148" s="2" t="s">
        <v>686</v>
      </c>
      <c r="J148" s="2" t="s">
        <v>1618</v>
      </c>
      <c r="K148" s="2" t="s">
        <v>67</v>
      </c>
      <c r="L148" s="16">
        <v>18237.59</v>
      </c>
      <c r="M148" s="11">
        <v>18237.59</v>
      </c>
      <c r="N148" s="2" t="s">
        <v>49</v>
      </c>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v>0</v>
      </c>
      <c r="BE148" s="7">
        <v>18237.59</v>
      </c>
      <c r="BF148" s="7"/>
      <c r="BG148" s="7"/>
      <c r="BH148" s="7"/>
      <c r="BI148" s="7"/>
      <c r="BJ148" s="7"/>
      <c r="BK148" s="7"/>
      <c r="BL148" s="7"/>
      <c r="BM148" s="7"/>
      <c r="BN148" s="7"/>
      <c r="BO148" s="7"/>
      <c r="BP148" s="2"/>
      <c r="BQ148" s="8">
        <v>46022</v>
      </c>
      <c r="BR148" s="8"/>
      <c r="BS148" s="2"/>
      <c r="BT148" s="14">
        <f t="shared" si="9"/>
        <v>18237.59</v>
      </c>
      <c r="BU148" s="2" t="str">
        <f t="shared" si="7"/>
        <v>OK</v>
      </c>
      <c r="BV148" s="13">
        <f t="shared" si="8"/>
        <v>0</v>
      </c>
    </row>
    <row r="149" spans="1:74" s="9" customFormat="1" ht="45" hidden="1" x14ac:dyDescent="0.25">
      <c r="A149" s="2" t="s">
        <v>1503</v>
      </c>
      <c r="B149" s="2" t="s">
        <v>997</v>
      </c>
      <c r="C149" s="2" t="s">
        <v>681</v>
      </c>
      <c r="D149" s="12" t="s">
        <v>1651</v>
      </c>
      <c r="E149" s="2" t="s">
        <v>998</v>
      </c>
      <c r="F149" s="2" t="s">
        <v>65</v>
      </c>
      <c r="G149" s="2" t="s">
        <v>2038</v>
      </c>
      <c r="H149" s="2" t="s">
        <v>77</v>
      </c>
      <c r="I149" s="2" t="s">
        <v>686</v>
      </c>
      <c r="J149" s="2" t="s">
        <v>1618</v>
      </c>
      <c r="K149" s="2" t="s">
        <v>67</v>
      </c>
      <c r="L149" s="16">
        <v>18237.59</v>
      </c>
      <c r="M149" s="11">
        <v>18237.59</v>
      </c>
      <c r="N149" s="2" t="s">
        <v>49</v>
      </c>
      <c r="O149" s="7">
        <v>0</v>
      </c>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v>0</v>
      </c>
      <c r="BF149" s="7">
        <v>18237.59</v>
      </c>
      <c r="BG149" s="7"/>
      <c r="BH149" s="7"/>
      <c r="BI149" s="7"/>
      <c r="BJ149" s="7"/>
      <c r="BK149" s="7"/>
      <c r="BL149" s="7"/>
      <c r="BM149" s="7"/>
      <c r="BN149" s="7"/>
      <c r="BO149" s="7"/>
      <c r="BP149" s="2"/>
      <c r="BQ149" s="8">
        <v>46022</v>
      </c>
      <c r="BR149" s="8"/>
      <c r="BS149" s="2"/>
      <c r="BT149" s="14">
        <f t="shared" si="9"/>
        <v>18237.59</v>
      </c>
      <c r="BU149" s="2" t="str">
        <f t="shared" si="7"/>
        <v>OK</v>
      </c>
      <c r="BV149" s="13">
        <f t="shared" si="8"/>
        <v>0</v>
      </c>
    </row>
    <row r="150" spans="1:74" s="9" customFormat="1" ht="78.75" x14ac:dyDescent="0.25">
      <c r="A150" s="2" t="s">
        <v>1498</v>
      </c>
      <c r="B150" s="2" t="s">
        <v>878</v>
      </c>
      <c r="C150" s="2" t="s">
        <v>681</v>
      </c>
      <c r="D150" s="12" t="s">
        <v>879</v>
      </c>
      <c r="E150" s="2"/>
      <c r="F150" s="2" t="s">
        <v>65</v>
      </c>
      <c r="G150" s="2" t="s">
        <v>2028</v>
      </c>
      <c r="H150" s="2" t="s">
        <v>77</v>
      </c>
      <c r="I150" s="2" t="s">
        <v>686</v>
      </c>
      <c r="J150" s="2" t="s">
        <v>1618</v>
      </c>
      <c r="K150" s="2" t="s">
        <v>67</v>
      </c>
      <c r="L150" s="22">
        <v>21127.23</v>
      </c>
      <c r="M150" s="22">
        <v>21127.23</v>
      </c>
      <c r="N150" s="2" t="s">
        <v>880</v>
      </c>
      <c r="O150" s="7"/>
      <c r="P150" s="7"/>
      <c r="Q150" s="7"/>
      <c r="R150" s="7"/>
      <c r="S150" s="7"/>
      <c r="T150" s="7"/>
      <c r="U150" s="7"/>
      <c r="V150" s="7">
        <v>1196.3</v>
      </c>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v>19930.93</v>
      </c>
      <c r="BF150" s="7"/>
      <c r="BG150" s="7"/>
      <c r="BH150" s="7"/>
      <c r="BI150" s="7"/>
      <c r="BJ150" s="7"/>
      <c r="BK150" s="7"/>
      <c r="BL150" s="7"/>
      <c r="BM150" s="7"/>
      <c r="BN150" s="7"/>
      <c r="BO150" s="7"/>
      <c r="BP150" s="2"/>
      <c r="BQ150" s="8">
        <v>46022</v>
      </c>
      <c r="BR150" s="8"/>
      <c r="BS150" s="2"/>
      <c r="BT150" s="14">
        <f t="shared" si="9"/>
        <v>21127.23</v>
      </c>
      <c r="BU150" s="2" t="str">
        <f t="shared" si="7"/>
        <v>OK</v>
      </c>
      <c r="BV150" s="13">
        <f t="shared" si="8"/>
        <v>0</v>
      </c>
    </row>
    <row r="151" spans="1:74" s="9" customFormat="1" ht="90" hidden="1" x14ac:dyDescent="0.25">
      <c r="A151" s="2" t="s">
        <v>1505</v>
      </c>
      <c r="B151" s="2" t="s">
        <v>967</v>
      </c>
      <c r="C151" s="2" t="s">
        <v>681</v>
      </c>
      <c r="D151" s="12" t="s">
        <v>1652</v>
      </c>
      <c r="E151" s="2" t="s">
        <v>968</v>
      </c>
      <c r="F151" s="2" t="s">
        <v>65</v>
      </c>
      <c r="G151" s="2" t="s">
        <v>2038</v>
      </c>
      <c r="H151" s="2" t="s">
        <v>77</v>
      </c>
      <c r="I151" s="2" t="s">
        <v>686</v>
      </c>
      <c r="J151" s="2" t="s">
        <v>1618</v>
      </c>
      <c r="K151" s="2" t="s">
        <v>67</v>
      </c>
      <c r="L151" s="16">
        <v>15632.22</v>
      </c>
      <c r="M151" s="11">
        <v>15632.22</v>
      </c>
      <c r="N151" s="2" t="s">
        <v>1141</v>
      </c>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v>7816.11</v>
      </c>
      <c r="BE151" s="7">
        <v>7816.11</v>
      </c>
      <c r="BF151" s="7"/>
      <c r="BG151" s="7"/>
      <c r="BH151" s="7"/>
      <c r="BI151" s="7"/>
      <c r="BJ151" s="7"/>
      <c r="BK151" s="7"/>
      <c r="BL151" s="7"/>
      <c r="BM151" s="7"/>
      <c r="BN151" s="7"/>
      <c r="BO151" s="7"/>
      <c r="BP151" s="2"/>
      <c r="BQ151" s="8">
        <v>46022</v>
      </c>
      <c r="BR151" s="8"/>
      <c r="BS151" s="2"/>
      <c r="BT151" s="14">
        <f t="shared" si="9"/>
        <v>15632.22</v>
      </c>
      <c r="BU151" s="2" t="str">
        <f t="shared" si="7"/>
        <v>OK</v>
      </c>
      <c r="BV151" s="13">
        <f t="shared" si="8"/>
        <v>0</v>
      </c>
    </row>
    <row r="152" spans="1:74" s="9" customFormat="1" ht="45" hidden="1" x14ac:dyDescent="0.25">
      <c r="A152" s="2" t="s">
        <v>1506</v>
      </c>
      <c r="B152" s="2" t="s">
        <v>980</v>
      </c>
      <c r="C152" s="2" t="s">
        <v>681</v>
      </c>
      <c r="D152" s="12" t="s">
        <v>1653</v>
      </c>
      <c r="E152" s="2" t="s">
        <v>981</v>
      </c>
      <c r="F152" s="2" t="s">
        <v>65</v>
      </c>
      <c r="G152" s="2" t="s">
        <v>2038</v>
      </c>
      <c r="H152" s="2" t="s">
        <v>77</v>
      </c>
      <c r="I152" s="2" t="s">
        <v>686</v>
      </c>
      <c r="J152" s="2" t="s">
        <v>1618</v>
      </c>
      <c r="K152" s="2" t="s">
        <v>67</v>
      </c>
      <c r="L152" s="16">
        <v>15632.22</v>
      </c>
      <c r="M152" s="11">
        <v>15632.22</v>
      </c>
      <c r="N152" s="2" t="s">
        <v>49</v>
      </c>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v>15632.22</v>
      </c>
      <c r="BF152" s="7">
        <v>0</v>
      </c>
      <c r="BG152" s="7"/>
      <c r="BH152" s="7"/>
      <c r="BI152" s="7"/>
      <c r="BJ152" s="7"/>
      <c r="BK152" s="7"/>
      <c r="BL152" s="7"/>
      <c r="BM152" s="7"/>
      <c r="BN152" s="7"/>
      <c r="BO152" s="7"/>
      <c r="BP152" s="2"/>
      <c r="BQ152" s="8">
        <v>46022</v>
      </c>
      <c r="BR152" s="8"/>
      <c r="BS152" s="2"/>
      <c r="BT152" s="14">
        <f t="shared" si="9"/>
        <v>15632.22</v>
      </c>
      <c r="BU152" s="2" t="str">
        <f t="shared" si="7"/>
        <v>OK</v>
      </c>
      <c r="BV152" s="13">
        <f t="shared" si="8"/>
        <v>0</v>
      </c>
    </row>
    <row r="153" spans="1:74" s="9" customFormat="1" ht="90" x14ac:dyDescent="0.25">
      <c r="A153" s="2" t="s">
        <v>1500</v>
      </c>
      <c r="B153" s="2" t="s">
        <v>864</v>
      </c>
      <c r="C153" s="2" t="s">
        <v>681</v>
      </c>
      <c r="D153" s="12" t="s">
        <v>865</v>
      </c>
      <c r="E153" s="2"/>
      <c r="F153" s="2" t="s">
        <v>65</v>
      </c>
      <c r="G153" s="2" t="s">
        <v>2028</v>
      </c>
      <c r="H153" s="2" t="s">
        <v>77</v>
      </c>
      <c r="I153" s="2" t="s">
        <v>686</v>
      </c>
      <c r="J153" s="2" t="s">
        <v>1618</v>
      </c>
      <c r="K153" s="2" t="s">
        <v>67</v>
      </c>
      <c r="L153" s="22">
        <v>18397.919999999998</v>
      </c>
      <c r="M153" s="22">
        <v>18397.919999999998</v>
      </c>
      <c r="N153" s="2" t="s">
        <v>1146</v>
      </c>
      <c r="O153" s="7">
        <v>0</v>
      </c>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v>15086.29</v>
      </c>
      <c r="BE153" s="7">
        <v>3311.63</v>
      </c>
      <c r="BF153" s="7"/>
      <c r="BG153" s="7"/>
      <c r="BH153" s="7"/>
      <c r="BI153" s="7"/>
      <c r="BJ153" s="7"/>
      <c r="BK153" s="7"/>
      <c r="BL153" s="7"/>
      <c r="BM153" s="7"/>
      <c r="BN153" s="7"/>
      <c r="BO153" s="7"/>
      <c r="BP153" s="2"/>
      <c r="BQ153" s="8">
        <v>46022</v>
      </c>
      <c r="BR153" s="8"/>
      <c r="BS153" s="2"/>
      <c r="BT153" s="14">
        <f t="shared" si="9"/>
        <v>18397.920000000002</v>
      </c>
      <c r="BU153" s="2" t="str">
        <f t="shared" si="7"/>
        <v>OK</v>
      </c>
      <c r="BV153" s="13">
        <f t="shared" si="8"/>
        <v>0</v>
      </c>
    </row>
    <row r="154" spans="1:74" s="9" customFormat="1" ht="78.75" x14ac:dyDescent="0.25">
      <c r="A154" s="2" t="s">
        <v>1501</v>
      </c>
      <c r="B154" s="2" t="s">
        <v>850</v>
      </c>
      <c r="C154" s="2" t="s">
        <v>681</v>
      </c>
      <c r="D154" s="12" t="s">
        <v>851</v>
      </c>
      <c r="E154" s="2"/>
      <c r="F154" s="2" t="s">
        <v>65</v>
      </c>
      <c r="G154" s="2" t="s">
        <v>2028</v>
      </c>
      <c r="H154" s="2" t="s">
        <v>77</v>
      </c>
      <c r="I154" s="2" t="s">
        <v>686</v>
      </c>
      <c r="J154" s="2" t="s">
        <v>1618</v>
      </c>
      <c r="K154" s="2" t="s">
        <v>67</v>
      </c>
      <c r="L154" s="22">
        <v>18377.12</v>
      </c>
      <c r="M154" s="22">
        <v>18377.12</v>
      </c>
      <c r="N154" s="2" t="s">
        <v>49</v>
      </c>
      <c r="O154" s="7">
        <v>0</v>
      </c>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v>18377.12</v>
      </c>
      <c r="BF154" s="7"/>
      <c r="BG154" s="7"/>
      <c r="BH154" s="7"/>
      <c r="BI154" s="7"/>
      <c r="BJ154" s="7"/>
      <c r="BK154" s="7"/>
      <c r="BL154" s="7"/>
      <c r="BM154" s="7"/>
      <c r="BN154" s="7"/>
      <c r="BO154" s="7"/>
      <c r="BP154" s="2"/>
      <c r="BQ154" s="8">
        <v>46022</v>
      </c>
      <c r="BR154" s="8"/>
      <c r="BS154" s="2"/>
      <c r="BT154" s="14">
        <f t="shared" si="9"/>
        <v>18377.12</v>
      </c>
      <c r="BU154" s="2" t="str">
        <f t="shared" si="7"/>
        <v>OK</v>
      </c>
      <c r="BV154" s="13">
        <f t="shared" si="8"/>
        <v>0</v>
      </c>
    </row>
    <row r="155" spans="1:74" s="9" customFormat="1" ht="101.25" hidden="1" x14ac:dyDescent="0.25">
      <c r="A155" s="2" t="s">
        <v>1509</v>
      </c>
      <c r="B155" s="2" t="s">
        <v>779</v>
      </c>
      <c r="C155" s="2" t="s">
        <v>681</v>
      </c>
      <c r="D155" s="12" t="s">
        <v>780</v>
      </c>
      <c r="E155" s="2"/>
      <c r="F155" s="2" t="s">
        <v>65</v>
      </c>
      <c r="G155" s="2" t="s">
        <v>2038</v>
      </c>
      <c r="H155" s="2" t="s">
        <v>77</v>
      </c>
      <c r="I155" s="2" t="s">
        <v>686</v>
      </c>
      <c r="J155" s="2" t="s">
        <v>1618</v>
      </c>
      <c r="K155" s="2" t="s">
        <v>67</v>
      </c>
      <c r="L155" s="16">
        <v>14908.61</v>
      </c>
      <c r="M155" s="11">
        <v>14908.61</v>
      </c>
      <c r="N155" s="2" t="s">
        <v>1140</v>
      </c>
      <c r="O155" s="7">
        <v>0</v>
      </c>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v>7454.31</v>
      </c>
      <c r="BE155" s="7">
        <v>7454.3</v>
      </c>
      <c r="BF155" s="7"/>
      <c r="BG155" s="7"/>
      <c r="BH155" s="7"/>
      <c r="BI155" s="7"/>
      <c r="BJ155" s="7"/>
      <c r="BK155" s="7"/>
      <c r="BL155" s="7"/>
      <c r="BM155" s="7"/>
      <c r="BN155" s="7"/>
      <c r="BO155" s="7"/>
      <c r="BP155" s="2"/>
      <c r="BQ155" s="8">
        <v>46022</v>
      </c>
      <c r="BR155" s="8"/>
      <c r="BS155" s="2"/>
      <c r="BT155" s="14">
        <f t="shared" si="9"/>
        <v>14908.61</v>
      </c>
      <c r="BU155" s="2" t="str">
        <f t="shared" si="7"/>
        <v>OK</v>
      </c>
      <c r="BV155" s="13">
        <f t="shared" si="8"/>
        <v>0</v>
      </c>
    </row>
    <row r="156" spans="1:74" s="9" customFormat="1" ht="101.25" hidden="1" x14ac:dyDescent="0.25">
      <c r="A156" s="2" t="s">
        <v>1510</v>
      </c>
      <c r="B156" s="2" t="s">
        <v>758</v>
      </c>
      <c r="C156" s="2" t="s">
        <v>681</v>
      </c>
      <c r="D156" s="12" t="s">
        <v>759</v>
      </c>
      <c r="E156" s="2"/>
      <c r="F156" s="2" t="s">
        <v>65</v>
      </c>
      <c r="G156" s="2" t="s">
        <v>2038</v>
      </c>
      <c r="H156" s="2" t="s">
        <v>77</v>
      </c>
      <c r="I156" s="2" t="s">
        <v>686</v>
      </c>
      <c r="J156" s="2" t="s">
        <v>1618</v>
      </c>
      <c r="K156" s="2" t="s">
        <v>67</v>
      </c>
      <c r="L156" s="16">
        <v>13775.39</v>
      </c>
      <c r="M156" s="11">
        <v>13775.39</v>
      </c>
      <c r="N156" s="2" t="s">
        <v>1140</v>
      </c>
      <c r="O156" s="7">
        <v>0</v>
      </c>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v>5234.6499999999996</v>
      </c>
      <c r="BE156" s="7">
        <v>8540.74</v>
      </c>
      <c r="BF156" s="7"/>
      <c r="BG156" s="7"/>
      <c r="BH156" s="7"/>
      <c r="BI156" s="7"/>
      <c r="BJ156" s="7"/>
      <c r="BK156" s="7"/>
      <c r="BL156" s="7"/>
      <c r="BM156" s="7"/>
      <c r="BN156" s="7"/>
      <c r="BO156" s="7"/>
      <c r="BP156" s="2"/>
      <c r="BQ156" s="8">
        <v>46022</v>
      </c>
      <c r="BR156" s="8"/>
      <c r="BS156" s="2"/>
      <c r="BT156" s="14">
        <f t="shared" si="9"/>
        <v>13775.39</v>
      </c>
      <c r="BU156" s="2" t="str">
        <f t="shared" si="7"/>
        <v>OK</v>
      </c>
      <c r="BV156" s="13">
        <f t="shared" si="8"/>
        <v>0</v>
      </c>
    </row>
    <row r="157" spans="1:74" s="9" customFormat="1" ht="90" x14ac:dyDescent="0.25">
      <c r="A157" s="2" t="s">
        <v>1504</v>
      </c>
      <c r="B157" s="2" t="s">
        <v>911</v>
      </c>
      <c r="C157" s="2" t="s">
        <v>681</v>
      </c>
      <c r="D157" s="12" t="s">
        <v>912</v>
      </c>
      <c r="E157" s="2"/>
      <c r="F157" s="2" t="s">
        <v>65</v>
      </c>
      <c r="G157" s="2" t="s">
        <v>2028</v>
      </c>
      <c r="H157" s="2" t="s">
        <v>77</v>
      </c>
      <c r="I157" s="2" t="s">
        <v>686</v>
      </c>
      <c r="J157" s="2" t="s">
        <v>1618</v>
      </c>
      <c r="K157" s="2" t="s">
        <v>67</v>
      </c>
      <c r="L157" s="22">
        <v>17173.150000000001</v>
      </c>
      <c r="M157" s="22">
        <v>17173.150000000001</v>
      </c>
      <c r="N157" s="2" t="s">
        <v>1140</v>
      </c>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v>7040.99</v>
      </c>
      <c r="BE157" s="7">
        <v>10132.16</v>
      </c>
      <c r="BF157" s="7"/>
      <c r="BG157" s="7"/>
      <c r="BH157" s="7"/>
      <c r="BI157" s="7"/>
      <c r="BJ157" s="7"/>
      <c r="BK157" s="7"/>
      <c r="BL157" s="7"/>
      <c r="BM157" s="7"/>
      <c r="BN157" s="7"/>
      <c r="BO157" s="7"/>
      <c r="BP157" s="2"/>
      <c r="BQ157" s="8">
        <v>46022</v>
      </c>
      <c r="BR157" s="8"/>
      <c r="BS157" s="2"/>
      <c r="BT157" s="14">
        <f t="shared" si="9"/>
        <v>17173.150000000001</v>
      </c>
      <c r="BU157" s="2" t="str">
        <f t="shared" si="7"/>
        <v>OK</v>
      </c>
      <c r="BV157" s="13">
        <f t="shared" si="8"/>
        <v>0</v>
      </c>
    </row>
    <row r="158" spans="1:74" s="9" customFormat="1" ht="90" x14ac:dyDescent="0.25">
      <c r="A158" s="2" t="s">
        <v>1507</v>
      </c>
      <c r="B158" s="2" t="s">
        <v>913</v>
      </c>
      <c r="C158" s="2" t="s">
        <v>681</v>
      </c>
      <c r="D158" s="12" t="s">
        <v>914</v>
      </c>
      <c r="E158" s="2"/>
      <c r="F158" s="2" t="s">
        <v>65</v>
      </c>
      <c r="G158" s="2" t="s">
        <v>2028</v>
      </c>
      <c r="H158" s="2" t="s">
        <v>77</v>
      </c>
      <c r="I158" s="2" t="s">
        <v>686</v>
      </c>
      <c r="J158" s="2" t="s">
        <v>1618</v>
      </c>
      <c r="K158" s="2" t="s">
        <v>67</v>
      </c>
      <c r="L158" s="22">
        <v>15430.55</v>
      </c>
      <c r="M158" s="22">
        <v>15430.55</v>
      </c>
      <c r="N158" s="2" t="s">
        <v>1140</v>
      </c>
      <c r="O158" s="7">
        <v>0</v>
      </c>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v>10801.39</v>
      </c>
      <c r="BE158" s="7">
        <v>4629.16</v>
      </c>
      <c r="BF158" s="7"/>
      <c r="BG158" s="7"/>
      <c r="BH158" s="7"/>
      <c r="BI158" s="7"/>
      <c r="BJ158" s="7"/>
      <c r="BK158" s="7"/>
      <c r="BL158" s="7"/>
      <c r="BM158" s="7"/>
      <c r="BN158" s="7"/>
      <c r="BO158" s="7"/>
      <c r="BP158" s="2"/>
      <c r="BQ158" s="8">
        <v>46022</v>
      </c>
      <c r="BR158" s="8"/>
      <c r="BS158" s="8" t="s">
        <v>1746</v>
      </c>
      <c r="BT158" s="14">
        <f t="shared" si="9"/>
        <v>15430.55</v>
      </c>
      <c r="BU158" s="2" t="str">
        <f t="shared" si="7"/>
        <v>OK</v>
      </c>
      <c r="BV158" s="13">
        <f t="shared" si="8"/>
        <v>0</v>
      </c>
    </row>
    <row r="159" spans="1:74" s="9" customFormat="1" ht="101.25" hidden="1" x14ac:dyDescent="0.25">
      <c r="A159" s="2" t="s">
        <v>1514</v>
      </c>
      <c r="B159" s="2" t="s">
        <v>767</v>
      </c>
      <c r="C159" s="2" t="s">
        <v>681</v>
      </c>
      <c r="D159" s="12" t="s">
        <v>768</v>
      </c>
      <c r="E159" s="2"/>
      <c r="F159" s="2" t="s">
        <v>65</v>
      </c>
      <c r="G159" s="2" t="s">
        <v>2038</v>
      </c>
      <c r="H159" s="2" t="s">
        <v>77</v>
      </c>
      <c r="I159" s="2" t="s">
        <v>686</v>
      </c>
      <c r="J159" s="2" t="s">
        <v>1618</v>
      </c>
      <c r="K159" s="2" t="s">
        <v>67</v>
      </c>
      <c r="L159" s="16">
        <v>13242.04</v>
      </c>
      <c r="M159" s="11">
        <v>13242.04</v>
      </c>
      <c r="N159" s="2" t="s">
        <v>1140</v>
      </c>
      <c r="O159" s="7">
        <v>0</v>
      </c>
      <c r="P159" s="7"/>
      <c r="Q159" s="7"/>
      <c r="R159" s="7"/>
      <c r="S159" s="7"/>
      <c r="T159" s="7"/>
      <c r="U159" s="7"/>
      <c r="V159" s="7">
        <f>1500</f>
        <v>1500</v>
      </c>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f>(13242.04-1500)/2</f>
        <v>5871.02</v>
      </c>
      <c r="BE159" s="7">
        <f>(13242.04-1500)/2</f>
        <v>5871.02</v>
      </c>
      <c r="BF159" s="7"/>
      <c r="BG159" s="7"/>
      <c r="BH159" s="7"/>
      <c r="BI159" s="7"/>
      <c r="BJ159" s="7"/>
      <c r="BK159" s="7"/>
      <c r="BL159" s="7"/>
      <c r="BM159" s="7"/>
      <c r="BN159" s="7"/>
      <c r="BO159" s="7"/>
      <c r="BP159" s="2"/>
      <c r="BQ159" s="8">
        <v>46022</v>
      </c>
      <c r="BR159" s="8"/>
      <c r="BS159" s="2"/>
      <c r="BT159" s="14">
        <f t="shared" si="9"/>
        <v>13242.04</v>
      </c>
      <c r="BU159" s="2" t="str">
        <f t="shared" si="7"/>
        <v>OK</v>
      </c>
      <c r="BV159" s="13">
        <f t="shared" si="8"/>
        <v>0</v>
      </c>
    </row>
    <row r="160" spans="1:74" s="9" customFormat="1" ht="78.75" x14ac:dyDescent="0.25">
      <c r="A160" s="2" t="s">
        <v>1511</v>
      </c>
      <c r="B160" s="2" t="s">
        <v>852</v>
      </c>
      <c r="C160" s="2" t="s">
        <v>681</v>
      </c>
      <c r="D160" s="12" t="s">
        <v>853</v>
      </c>
      <c r="E160" s="2"/>
      <c r="F160" s="2" t="s">
        <v>65</v>
      </c>
      <c r="G160" s="2" t="s">
        <v>2028</v>
      </c>
      <c r="H160" s="2" t="s">
        <v>77</v>
      </c>
      <c r="I160" s="2" t="s">
        <v>686</v>
      </c>
      <c r="J160" s="2" t="s">
        <v>1618</v>
      </c>
      <c r="K160" s="2" t="s">
        <v>67</v>
      </c>
      <c r="L160" s="22">
        <v>13576.83</v>
      </c>
      <c r="M160" s="22">
        <v>13576.83</v>
      </c>
      <c r="N160" s="2" t="s">
        <v>49</v>
      </c>
      <c r="O160" s="7">
        <v>0</v>
      </c>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v>13576.83</v>
      </c>
      <c r="BF160" s="7"/>
      <c r="BG160" s="7"/>
      <c r="BH160" s="7"/>
      <c r="BI160" s="7"/>
      <c r="BJ160" s="7"/>
      <c r="BK160" s="7"/>
      <c r="BL160" s="7"/>
      <c r="BM160" s="7"/>
      <c r="BN160" s="7"/>
      <c r="BO160" s="7"/>
      <c r="BP160" s="2"/>
      <c r="BQ160" s="8">
        <v>46022</v>
      </c>
      <c r="BR160" s="8"/>
      <c r="BS160" s="2"/>
      <c r="BT160" s="14">
        <f t="shared" si="9"/>
        <v>13576.83</v>
      </c>
      <c r="BU160" s="2" t="str">
        <f t="shared" si="7"/>
        <v>OK</v>
      </c>
      <c r="BV160" s="13">
        <f t="shared" si="8"/>
        <v>0</v>
      </c>
    </row>
    <row r="161" spans="1:74" s="9" customFormat="1" ht="90" x14ac:dyDescent="0.25">
      <c r="A161" s="2" t="s">
        <v>1512</v>
      </c>
      <c r="B161" s="2" t="s">
        <v>869</v>
      </c>
      <c r="C161" s="2" t="s">
        <v>681</v>
      </c>
      <c r="D161" s="12" t="s">
        <v>870</v>
      </c>
      <c r="E161" s="2"/>
      <c r="F161" s="2" t="s">
        <v>65</v>
      </c>
      <c r="G161" s="2" t="s">
        <v>2028</v>
      </c>
      <c r="H161" s="2" t="s">
        <v>77</v>
      </c>
      <c r="I161" s="2" t="s">
        <v>686</v>
      </c>
      <c r="J161" s="2" t="s">
        <v>1618</v>
      </c>
      <c r="K161" s="2" t="s">
        <v>67</v>
      </c>
      <c r="L161" s="22">
        <v>13528.77</v>
      </c>
      <c r="M161" s="22">
        <v>13528.77</v>
      </c>
      <c r="N161" s="2" t="s">
        <v>1146</v>
      </c>
      <c r="O161" s="7">
        <v>0</v>
      </c>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v>6764.39</v>
      </c>
      <c r="BE161" s="7">
        <v>6764.38</v>
      </c>
      <c r="BF161" s="7"/>
      <c r="BG161" s="7"/>
      <c r="BH161" s="7"/>
      <c r="BI161" s="7"/>
      <c r="BJ161" s="7"/>
      <c r="BK161" s="7"/>
      <c r="BL161" s="7"/>
      <c r="BM161" s="7"/>
      <c r="BN161" s="7"/>
      <c r="BO161" s="7"/>
      <c r="BP161" s="2"/>
      <c r="BQ161" s="8">
        <v>46022</v>
      </c>
      <c r="BR161" s="8"/>
      <c r="BS161" s="2"/>
      <c r="BT161" s="14">
        <f t="shared" si="9"/>
        <v>13528.77</v>
      </c>
      <c r="BU161" s="2" t="str">
        <f t="shared" si="7"/>
        <v>OK</v>
      </c>
      <c r="BV161" s="13">
        <f t="shared" si="8"/>
        <v>0</v>
      </c>
    </row>
    <row r="162" spans="1:74" s="9" customFormat="1" ht="101.25" hidden="1" x14ac:dyDescent="0.25">
      <c r="A162" s="2" t="s">
        <v>1518</v>
      </c>
      <c r="B162" s="2" t="s">
        <v>811</v>
      </c>
      <c r="C162" s="2" t="s">
        <v>681</v>
      </c>
      <c r="D162" s="12" t="s">
        <v>812</v>
      </c>
      <c r="E162" s="2"/>
      <c r="F162" s="2" t="s">
        <v>65</v>
      </c>
      <c r="G162" s="2" t="s">
        <v>2038</v>
      </c>
      <c r="H162" s="2" t="s">
        <v>77</v>
      </c>
      <c r="I162" s="2" t="s">
        <v>686</v>
      </c>
      <c r="J162" s="2" t="s">
        <v>1618</v>
      </c>
      <c r="K162" s="2" t="s">
        <v>67</v>
      </c>
      <c r="L162" s="16">
        <v>10205.76</v>
      </c>
      <c r="M162" s="11">
        <v>10205.76</v>
      </c>
      <c r="N162" s="2" t="s">
        <v>1140</v>
      </c>
      <c r="O162" s="7">
        <v>0</v>
      </c>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v>5102.88</v>
      </c>
      <c r="BE162" s="7">
        <v>5102.88</v>
      </c>
      <c r="BF162" s="7"/>
      <c r="BG162" s="7"/>
      <c r="BH162" s="7"/>
      <c r="BI162" s="7"/>
      <c r="BJ162" s="7"/>
      <c r="BK162" s="7"/>
      <c r="BL162" s="7"/>
      <c r="BM162" s="7"/>
      <c r="BN162" s="7"/>
      <c r="BO162" s="7"/>
      <c r="BP162" s="2"/>
      <c r="BQ162" s="8">
        <v>46022</v>
      </c>
      <c r="BR162" s="8"/>
      <c r="BS162" s="2"/>
      <c r="BT162" s="14">
        <f t="shared" si="9"/>
        <v>10205.76</v>
      </c>
      <c r="BU162" s="2" t="str">
        <f t="shared" si="7"/>
        <v>OK</v>
      </c>
      <c r="BV162" s="13">
        <f t="shared" si="8"/>
        <v>0</v>
      </c>
    </row>
    <row r="163" spans="1:74" s="9" customFormat="1" ht="101.25" hidden="1" x14ac:dyDescent="0.25">
      <c r="A163" s="2" t="s">
        <v>1519</v>
      </c>
      <c r="B163" s="2" t="s">
        <v>787</v>
      </c>
      <c r="C163" s="2" t="s">
        <v>681</v>
      </c>
      <c r="D163" s="12" t="s">
        <v>788</v>
      </c>
      <c r="E163" s="2"/>
      <c r="F163" s="2" t="s">
        <v>65</v>
      </c>
      <c r="G163" s="2" t="s">
        <v>2038</v>
      </c>
      <c r="H163" s="2" t="s">
        <v>77</v>
      </c>
      <c r="I163" s="2" t="s">
        <v>686</v>
      </c>
      <c r="J163" s="2" t="s">
        <v>1618</v>
      </c>
      <c r="K163" s="2" t="s">
        <v>67</v>
      </c>
      <c r="L163" s="16">
        <v>10025.299999999999</v>
      </c>
      <c r="M163" s="11">
        <v>10025.299999999999</v>
      </c>
      <c r="N163" s="2" t="s">
        <v>1140</v>
      </c>
      <c r="O163" s="7">
        <v>0</v>
      </c>
      <c r="P163" s="7"/>
      <c r="Q163" s="7"/>
      <c r="R163" s="7"/>
      <c r="S163" s="7"/>
      <c r="T163" s="7"/>
      <c r="U163" s="7"/>
      <c r="V163" s="7">
        <f>1500</f>
        <v>1500</v>
      </c>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f>(10025.3-1500)/2</f>
        <v>4262.6499999999996</v>
      </c>
      <c r="BE163" s="7">
        <f>(10025.3-1500)/2</f>
        <v>4262.6499999999996</v>
      </c>
      <c r="BF163" s="7"/>
      <c r="BG163" s="7"/>
      <c r="BH163" s="7"/>
      <c r="BI163" s="7"/>
      <c r="BJ163" s="7"/>
      <c r="BK163" s="7"/>
      <c r="BL163" s="7"/>
      <c r="BM163" s="7"/>
      <c r="BN163" s="7"/>
      <c r="BO163" s="7"/>
      <c r="BP163" s="2"/>
      <c r="BQ163" s="8">
        <v>46022</v>
      </c>
      <c r="BR163" s="8"/>
      <c r="BS163" s="2"/>
      <c r="BT163" s="14">
        <f t="shared" si="9"/>
        <v>10025.299999999999</v>
      </c>
      <c r="BU163" s="2" t="str">
        <f t="shared" si="7"/>
        <v>OK</v>
      </c>
      <c r="BV163" s="13">
        <f t="shared" si="8"/>
        <v>0</v>
      </c>
    </row>
    <row r="164" spans="1:74" s="9" customFormat="1" ht="101.25" hidden="1" x14ac:dyDescent="0.25">
      <c r="A164" s="2" t="s">
        <v>1520</v>
      </c>
      <c r="B164" s="2" t="s">
        <v>762</v>
      </c>
      <c r="C164" s="2" t="s">
        <v>681</v>
      </c>
      <c r="D164" s="12" t="s">
        <v>763</v>
      </c>
      <c r="E164" s="2"/>
      <c r="F164" s="2" t="s">
        <v>65</v>
      </c>
      <c r="G164" s="2" t="s">
        <v>2038</v>
      </c>
      <c r="H164" s="2" t="s">
        <v>77</v>
      </c>
      <c r="I164" s="2" t="s">
        <v>686</v>
      </c>
      <c r="J164" s="2" t="s">
        <v>1618</v>
      </c>
      <c r="K164" s="2" t="s">
        <v>67</v>
      </c>
      <c r="L164" s="16">
        <v>9703.51</v>
      </c>
      <c r="M164" s="11">
        <v>9703.51</v>
      </c>
      <c r="N164" s="2" t="s">
        <v>1140</v>
      </c>
      <c r="O164" s="7">
        <v>0</v>
      </c>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f>9703.51/2</f>
        <v>4851.7550000000001</v>
      </c>
      <c r="BE164" s="7">
        <f>9703.51/2</f>
        <v>4851.7550000000001</v>
      </c>
      <c r="BF164" s="7"/>
      <c r="BG164" s="7"/>
      <c r="BH164" s="7"/>
      <c r="BI164" s="7"/>
      <c r="BJ164" s="7"/>
      <c r="BK164" s="7"/>
      <c r="BL164" s="7"/>
      <c r="BM164" s="7"/>
      <c r="BN164" s="7"/>
      <c r="BO164" s="7"/>
      <c r="BP164" s="2"/>
      <c r="BQ164" s="8">
        <v>45496</v>
      </c>
      <c r="BR164" s="8"/>
      <c r="BS164" s="8" t="s">
        <v>1746</v>
      </c>
      <c r="BT164" s="14">
        <f t="shared" si="9"/>
        <v>9703.51</v>
      </c>
      <c r="BU164" s="2" t="str">
        <f t="shared" si="7"/>
        <v>OK</v>
      </c>
      <c r="BV164" s="13">
        <f t="shared" si="8"/>
        <v>0</v>
      </c>
    </row>
    <row r="165" spans="1:74" s="9" customFormat="1" ht="45" hidden="1" x14ac:dyDescent="0.25">
      <c r="A165" s="2" t="s">
        <v>1523</v>
      </c>
      <c r="B165" s="2" t="s">
        <v>975</v>
      </c>
      <c r="C165" s="2" t="s">
        <v>681</v>
      </c>
      <c r="D165" s="12" t="s">
        <v>1654</v>
      </c>
      <c r="E165" s="2" t="s">
        <v>976</v>
      </c>
      <c r="F165" s="2" t="s">
        <v>65</v>
      </c>
      <c r="G165" s="2" t="s">
        <v>2038</v>
      </c>
      <c r="H165" s="2" t="s">
        <v>77</v>
      </c>
      <c r="I165" s="2" t="s">
        <v>686</v>
      </c>
      <c r="J165" s="2" t="s">
        <v>1618</v>
      </c>
      <c r="K165" s="2" t="s">
        <v>67</v>
      </c>
      <c r="L165" s="16">
        <v>7816.11</v>
      </c>
      <c r="M165" s="11">
        <v>7816.11</v>
      </c>
      <c r="N165" s="2" t="s">
        <v>49</v>
      </c>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v>0</v>
      </c>
      <c r="BE165" s="7">
        <v>7816.11</v>
      </c>
      <c r="BF165" s="7"/>
      <c r="BG165" s="7"/>
      <c r="BH165" s="7"/>
      <c r="BI165" s="7"/>
      <c r="BJ165" s="7"/>
      <c r="BK165" s="7"/>
      <c r="BL165" s="7"/>
      <c r="BM165" s="7"/>
      <c r="BN165" s="7"/>
      <c r="BO165" s="7"/>
      <c r="BP165" s="2"/>
      <c r="BQ165" s="8">
        <v>46022</v>
      </c>
      <c r="BR165" s="8"/>
      <c r="BS165" s="2" t="s">
        <v>1745</v>
      </c>
      <c r="BT165" s="14">
        <f t="shared" si="9"/>
        <v>7816.11</v>
      </c>
      <c r="BU165" s="2" t="str">
        <f t="shared" si="7"/>
        <v>OK</v>
      </c>
      <c r="BV165" s="13">
        <f t="shared" si="8"/>
        <v>0</v>
      </c>
    </row>
    <row r="166" spans="1:74" s="9" customFormat="1" ht="101.25" hidden="1" x14ac:dyDescent="0.25">
      <c r="A166" s="2" t="s">
        <v>1524</v>
      </c>
      <c r="B166" s="2" t="s">
        <v>704</v>
      </c>
      <c r="C166" s="2" t="s">
        <v>681</v>
      </c>
      <c r="D166" s="12" t="s">
        <v>705</v>
      </c>
      <c r="E166" s="2"/>
      <c r="F166" s="2" t="s">
        <v>65</v>
      </c>
      <c r="G166" s="2" t="s">
        <v>2038</v>
      </c>
      <c r="H166" s="2" t="s">
        <v>77</v>
      </c>
      <c r="I166" s="2" t="s">
        <v>686</v>
      </c>
      <c r="J166" s="2" t="s">
        <v>1618</v>
      </c>
      <c r="K166" s="2" t="s">
        <v>67</v>
      </c>
      <c r="L166" s="16">
        <v>7283.96</v>
      </c>
      <c r="M166" s="11">
        <v>7283.96</v>
      </c>
      <c r="N166" s="2" t="s">
        <v>1140</v>
      </c>
      <c r="O166" s="7">
        <v>0</v>
      </c>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f>3641.98</f>
        <v>3641.98</v>
      </c>
      <c r="BE166" s="7">
        <v>3641.98</v>
      </c>
      <c r="BF166" s="7"/>
      <c r="BG166" s="7"/>
      <c r="BH166" s="7"/>
      <c r="BI166" s="7"/>
      <c r="BJ166" s="7"/>
      <c r="BK166" s="7"/>
      <c r="BL166" s="7"/>
      <c r="BM166" s="7"/>
      <c r="BN166" s="7"/>
      <c r="BO166" s="7"/>
      <c r="BP166" s="2"/>
      <c r="BQ166" s="8">
        <v>46022</v>
      </c>
      <c r="BR166" s="8"/>
      <c r="BS166" s="2"/>
      <c r="BT166" s="14">
        <f t="shared" si="9"/>
        <v>7283.96</v>
      </c>
      <c r="BU166" s="2" t="str">
        <f t="shared" si="7"/>
        <v>OK</v>
      </c>
      <c r="BV166" s="13">
        <f t="shared" si="8"/>
        <v>0</v>
      </c>
    </row>
    <row r="167" spans="1:74" s="9" customFormat="1" ht="45" hidden="1" x14ac:dyDescent="0.25">
      <c r="A167" s="2" t="s">
        <v>1525</v>
      </c>
      <c r="B167" s="2" t="s">
        <v>957</v>
      </c>
      <c r="C167" s="2" t="s">
        <v>681</v>
      </c>
      <c r="D167" s="12" t="s">
        <v>1655</v>
      </c>
      <c r="E167" s="2" t="s">
        <v>959</v>
      </c>
      <c r="F167" s="2" t="s">
        <v>65</v>
      </c>
      <c r="G167" s="2" t="s">
        <v>2038</v>
      </c>
      <c r="H167" s="2" t="s">
        <v>77</v>
      </c>
      <c r="I167" s="2" t="s">
        <v>686</v>
      </c>
      <c r="J167" s="2" t="s">
        <v>1618</v>
      </c>
      <c r="K167" s="2" t="s">
        <v>67</v>
      </c>
      <c r="L167" s="16">
        <v>5210.74</v>
      </c>
      <c r="M167" s="11">
        <v>5210.74</v>
      </c>
      <c r="N167" s="2" t="s">
        <v>49</v>
      </c>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v>0</v>
      </c>
      <c r="BE167" s="7">
        <v>5210.74</v>
      </c>
      <c r="BF167" s="7"/>
      <c r="BG167" s="7"/>
      <c r="BH167" s="7"/>
      <c r="BI167" s="7"/>
      <c r="BJ167" s="7"/>
      <c r="BK167" s="7"/>
      <c r="BL167" s="7"/>
      <c r="BM167" s="7"/>
      <c r="BN167" s="7"/>
      <c r="BO167" s="7"/>
      <c r="BP167" s="2"/>
      <c r="BQ167" s="8">
        <v>46022</v>
      </c>
      <c r="BR167" s="8"/>
      <c r="BS167" s="8" t="s">
        <v>1746</v>
      </c>
      <c r="BT167" s="14">
        <f t="shared" si="9"/>
        <v>5210.74</v>
      </c>
      <c r="BU167" s="2" t="str">
        <f t="shared" si="7"/>
        <v>OK</v>
      </c>
      <c r="BV167" s="13">
        <f t="shared" si="8"/>
        <v>0</v>
      </c>
    </row>
    <row r="168" spans="1:74" s="9" customFormat="1" ht="45" hidden="1" x14ac:dyDescent="0.25">
      <c r="A168" s="2" t="s">
        <v>1526</v>
      </c>
      <c r="B168" s="2" t="s">
        <v>962</v>
      </c>
      <c r="C168" s="2" t="s">
        <v>681</v>
      </c>
      <c r="D168" s="12" t="s">
        <v>1656</v>
      </c>
      <c r="E168" s="2" t="s">
        <v>963</v>
      </c>
      <c r="F168" s="2" t="s">
        <v>65</v>
      </c>
      <c r="G168" s="2" t="s">
        <v>2038</v>
      </c>
      <c r="H168" s="2" t="s">
        <v>77</v>
      </c>
      <c r="I168" s="2" t="s">
        <v>686</v>
      </c>
      <c r="J168" s="2" t="s">
        <v>1618</v>
      </c>
      <c r="K168" s="2" t="s">
        <v>67</v>
      </c>
      <c r="L168" s="16">
        <v>5210.74</v>
      </c>
      <c r="M168" s="11">
        <v>5210.74</v>
      </c>
      <c r="N168" s="2" t="s">
        <v>49</v>
      </c>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v>5210.74</v>
      </c>
      <c r="BF168" s="7">
        <v>0</v>
      </c>
      <c r="BG168" s="7"/>
      <c r="BH168" s="7"/>
      <c r="BI168" s="7"/>
      <c r="BJ168" s="7"/>
      <c r="BK168" s="7"/>
      <c r="BL168" s="7"/>
      <c r="BM168" s="7"/>
      <c r="BN168" s="7"/>
      <c r="BO168" s="7"/>
      <c r="BP168" s="2"/>
      <c r="BQ168" s="8">
        <v>46022</v>
      </c>
      <c r="BR168" s="8"/>
      <c r="BS168" s="8" t="s">
        <v>1749</v>
      </c>
      <c r="BT168" s="14">
        <f t="shared" si="9"/>
        <v>5210.74</v>
      </c>
      <c r="BU168" s="2" t="str">
        <f t="shared" si="7"/>
        <v>OK</v>
      </c>
      <c r="BV168" s="13">
        <f t="shared" si="8"/>
        <v>0</v>
      </c>
    </row>
    <row r="169" spans="1:74" s="9" customFormat="1" ht="45" hidden="1" x14ac:dyDescent="0.25">
      <c r="A169" s="2" t="s">
        <v>1527</v>
      </c>
      <c r="B169" s="2" t="s">
        <v>986</v>
      </c>
      <c r="C169" s="2" t="s">
        <v>681</v>
      </c>
      <c r="D169" s="12" t="s">
        <v>1657</v>
      </c>
      <c r="E169" s="2" t="s">
        <v>987</v>
      </c>
      <c r="F169" s="2" t="s">
        <v>65</v>
      </c>
      <c r="G169" s="2" t="s">
        <v>2038</v>
      </c>
      <c r="H169" s="2" t="s">
        <v>77</v>
      </c>
      <c r="I169" s="2" t="s">
        <v>686</v>
      </c>
      <c r="J169" s="2" t="s">
        <v>1618</v>
      </c>
      <c r="K169" s="2" t="s">
        <v>67</v>
      </c>
      <c r="L169" s="16">
        <v>5210.74</v>
      </c>
      <c r="M169" s="11">
        <v>5210.74</v>
      </c>
      <c r="N169" s="2" t="s">
        <v>49</v>
      </c>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v>0</v>
      </c>
      <c r="BE169" s="7">
        <v>5210.74</v>
      </c>
      <c r="BF169" s="7"/>
      <c r="BG169" s="7"/>
      <c r="BH169" s="7"/>
      <c r="BI169" s="7"/>
      <c r="BJ169" s="7"/>
      <c r="BK169" s="7"/>
      <c r="BL169" s="7"/>
      <c r="BM169" s="7"/>
      <c r="BN169" s="7"/>
      <c r="BO169" s="7"/>
      <c r="BP169" s="2"/>
      <c r="BQ169" s="8">
        <v>46022</v>
      </c>
      <c r="BR169" s="8"/>
      <c r="BS169" s="2"/>
      <c r="BT169" s="14">
        <f t="shared" si="9"/>
        <v>5210.74</v>
      </c>
      <c r="BU169" s="2" t="str">
        <f t="shared" si="7"/>
        <v>OK</v>
      </c>
      <c r="BV169" s="13">
        <f t="shared" si="8"/>
        <v>0</v>
      </c>
    </row>
    <row r="170" spans="1:74" s="9" customFormat="1" ht="101.25" hidden="1" x14ac:dyDescent="0.25">
      <c r="A170" s="2" t="s">
        <v>1528</v>
      </c>
      <c r="B170" s="2" t="s">
        <v>702</v>
      </c>
      <c r="C170" s="2" t="s">
        <v>681</v>
      </c>
      <c r="D170" s="12" t="s">
        <v>703</v>
      </c>
      <c r="E170" s="2"/>
      <c r="F170" s="2" t="s">
        <v>65</v>
      </c>
      <c r="G170" s="2" t="s">
        <v>2038</v>
      </c>
      <c r="H170" s="2" t="s">
        <v>77</v>
      </c>
      <c r="I170" s="2" t="s">
        <v>686</v>
      </c>
      <c r="J170" s="2" t="s">
        <v>1618</v>
      </c>
      <c r="K170" s="2" t="s">
        <v>67</v>
      </c>
      <c r="L170" s="16">
        <v>4294.34</v>
      </c>
      <c r="M170" s="11">
        <v>4294.34</v>
      </c>
      <c r="N170" s="2" t="s">
        <v>1140</v>
      </c>
      <c r="O170" s="7">
        <v>0</v>
      </c>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v>1417.13</v>
      </c>
      <c r="BE170" s="7">
        <v>2877.21</v>
      </c>
      <c r="BF170" s="7"/>
      <c r="BG170" s="7"/>
      <c r="BH170" s="7"/>
      <c r="BI170" s="7"/>
      <c r="BJ170" s="7"/>
      <c r="BK170" s="7"/>
      <c r="BL170" s="7"/>
      <c r="BM170" s="7"/>
      <c r="BN170" s="7"/>
      <c r="BO170" s="7"/>
      <c r="BP170" s="2"/>
      <c r="BQ170" s="8">
        <v>46022</v>
      </c>
      <c r="BR170" s="8"/>
      <c r="BS170" s="2"/>
      <c r="BT170" s="14">
        <f t="shared" si="9"/>
        <v>4294.34</v>
      </c>
      <c r="BU170" s="2" t="str">
        <f t="shared" si="7"/>
        <v>OK</v>
      </c>
      <c r="BV170" s="13">
        <f t="shared" si="8"/>
        <v>0</v>
      </c>
    </row>
    <row r="171" spans="1:74" s="9" customFormat="1" ht="101.25" hidden="1" x14ac:dyDescent="0.25">
      <c r="A171" s="2" t="s">
        <v>1532</v>
      </c>
      <c r="B171" s="2" t="s">
        <v>795</v>
      </c>
      <c r="C171" s="2" t="s">
        <v>681</v>
      </c>
      <c r="D171" s="12" t="s">
        <v>796</v>
      </c>
      <c r="E171" s="2"/>
      <c r="F171" s="2" t="s">
        <v>65</v>
      </c>
      <c r="G171" s="2" t="s">
        <v>2038</v>
      </c>
      <c r="H171" s="2" t="s">
        <v>77</v>
      </c>
      <c r="I171" s="2" t="s">
        <v>686</v>
      </c>
      <c r="J171" s="2" t="s">
        <v>1618</v>
      </c>
      <c r="K171" s="2" t="s">
        <v>67</v>
      </c>
      <c r="L171" s="16">
        <v>3670.56</v>
      </c>
      <c r="M171" s="11">
        <v>3670.56</v>
      </c>
      <c r="N171" s="2" t="s">
        <v>1140</v>
      </c>
      <c r="O171" s="7">
        <v>0</v>
      </c>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v>2569.4</v>
      </c>
      <c r="BE171" s="7">
        <v>1101.1600000000001</v>
      </c>
      <c r="BF171" s="7"/>
      <c r="BG171" s="7"/>
      <c r="BH171" s="7"/>
      <c r="BI171" s="7"/>
      <c r="BJ171" s="7"/>
      <c r="BK171" s="7"/>
      <c r="BL171" s="7"/>
      <c r="BM171" s="7"/>
      <c r="BN171" s="7"/>
      <c r="BO171" s="7"/>
      <c r="BP171" s="2"/>
      <c r="BQ171" s="8">
        <v>46022</v>
      </c>
      <c r="BR171" s="8"/>
      <c r="BS171" s="2"/>
      <c r="BT171" s="14">
        <f t="shared" si="9"/>
        <v>3670.5600000000004</v>
      </c>
      <c r="BU171" s="2" t="str">
        <f t="shared" si="7"/>
        <v>OK</v>
      </c>
      <c r="BV171" s="13">
        <f t="shared" si="8"/>
        <v>0</v>
      </c>
    </row>
    <row r="172" spans="1:74" s="9" customFormat="1" ht="45" hidden="1" x14ac:dyDescent="0.25">
      <c r="A172" s="2" t="s">
        <v>1533</v>
      </c>
      <c r="B172" s="2" t="s">
        <v>785</v>
      </c>
      <c r="C172" s="2" t="s">
        <v>681</v>
      </c>
      <c r="D172" s="12" t="s">
        <v>786</v>
      </c>
      <c r="E172" s="2"/>
      <c r="F172" s="2" t="s">
        <v>65</v>
      </c>
      <c r="G172" s="2" t="s">
        <v>2038</v>
      </c>
      <c r="H172" s="2" t="s">
        <v>77</v>
      </c>
      <c r="I172" s="2" t="s">
        <v>686</v>
      </c>
      <c r="J172" s="2" t="s">
        <v>1618</v>
      </c>
      <c r="K172" s="2" t="s">
        <v>67</v>
      </c>
      <c r="L172" s="16">
        <v>3376.34</v>
      </c>
      <c r="M172" s="11">
        <v>3376.34</v>
      </c>
      <c r="N172" s="2" t="s">
        <v>49</v>
      </c>
      <c r="O172" s="7">
        <v>0</v>
      </c>
      <c r="P172" s="7"/>
      <c r="Q172" s="7"/>
      <c r="R172" s="7"/>
      <c r="S172" s="7"/>
      <c r="T172" s="7"/>
      <c r="U172" s="7"/>
      <c r="V172" s="7">
        <v>600</v>
      </c>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f>(3376.34-600)/2</f>
        <v>1388.17</v>
      </c>
      <c r="BE172" s="7">
        <f>(3376.34-600)/2</f>
        <v>1388.17</v>
      </c>
      <c r="BF172" s="7"/>
      <c r="BG172" s="7"/>
      <c r="BH172" s="7"/>
      <c r="BI172" s="7"/>
      <c r="BJ172" s="7"/>
      <c r="BK172" s="7"/>
      <c r="BL172" s="7"/>
      <c r="BM172" s="7"/>
      <c r="BN172" s="7"/>
      <c r="BO172" s="7"/>
      <c r="BP172" s="2"/>
      <c r="BQ172" s="8">
        <v>46022</v>
      </c>
      <c r="BR172" s="8"/>
      <c r="BS172" s="2"/>
      <c r="BT172" s="14">
        <f t="shared" si="9"/>
        <v>3376.34</v>
      </c>
      <c r="BU172" s="2" t="str">
        <f t="shared" si="7"/>
        <v>OK</v>
      </c>
      <c r="BV172" s="13">
        <f t="shared" si="8"/>
        <v>0</v>
      </c>
    </row>
    <row r="173" spans="1:74" s="9" customFormat="1" ht="101.25" hidden="1" x14ac:dyDescent="0.25">
      <c r="A173" s="2" t="s">
        <v>1534</v>
      </c>
      <c r="B173" s="2" t="s">
        <v>756</v>
      </c>
      <c r="C173" s="2" t="s">
        <v>681</v>
      </c>
      <c r="D173" s="12" t="s">
        <v>757</v>
      </c>
      <c r="E173" s="2"/>
      <c r="F173" s="2" t="s">
        <v>65</v>
      </c>
      <c r="G173" s="2" t="s">
        <v>2038</v>
      </c>
      <c r="H173" s="2" t="s">
        <v>77</v>
      </c>
      <c r="I173" s="2" t="s">
        <v>686</v>
      </c>
      <c r="J173" s="2" t="s">
        <v>1618</v>
      </c>
      <c r="K173" s="2" t="s">
        <v>67</v>
      </c>
      <c r="L173" s="16">
        <v>3031.39</v>
      </c>
      <c r="M173" s="11">
        <v>3031.39</v>
      </c>
      <c r="N173" s="2" t="s">
        <v>1140</v>
      </c>
      <c r="O173" s="7">
        <v>0</v>
      </c>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v>1273.18</v>
      </c>
      <c r="BE173" s="7">
        <v>1758.21</v>
      </c>
      <c r="BF173" s="7"/>
      <c r="BG173" s="7"/>
      <c r="BH173" s="7"/>
      <c r="BI173" s="7"/>
      <c r="BJ173" s="7"/>
      <c r="BK173" s="7"/>
      <c r="BL173" s="7"/>
      <c r="BM173" s="7"/>
      <c r="BN173" s="7"/>
      <c r="BO173" s="7"/>
      <c r="BP173" s="2"/>
      <c r="BQ173" s="8">
        <v>46022</v>
      </c>
      <c r="BR173" s="8"/>
      <c r="BS173" s="2"/>
      <c r="BT173" s="14">
        <f t="shared" si="9"/>
        <v>3031.3900000000003</v>
      </c>
      <c r="BU173" s="2" t="str">
        <f t="shared" si="7"/>
        <v>OK</v>
      </c>
      <c r="BV173" s="13">
        <f t="shared" si="8"/>
        <v>0</v>
      </c>
    </row>
    <row r="174" spans="1:74" s="9" customFormat="1" ht="101.25" hidden="1" x14ac:dyDescent="0.25">
      <c r="A174" s="2" t="s">
        <v>1536</v>
      </c>
      <c r="B174" s="2" t="s">
        <v>700</v>
      </c>
      <c r="C174" s="2" t="s">
        <v>681</v>
      </c>
      <c r="D174" s="12" t="s">
        <v>701</v>
      </c>
      <c r="E174" s="2"/>
      <c r="F174" s="2" t="s">
        <v>65</v>
      </c>
      <c r="G174" s="2" t="s">
        <v>2038</v>
      </c>
      <c r="H174" s="2" t="s">
        <v>77</v>
      </c>
      <c r="I174" s="2" t="s">
        <v>686</v>
      </c>
      <c r="J174" s="2" t="s">
        <v>1618</v>
      </c>
      <c r="K174" s="2" t="s">
        <v>67</v>
      </c>
      <c r="L174" s="16">
        <v>1827.94</v>
      </c>
      <c r="M174" s="11">
        <v>1827.94</v>
      </c>
      <c r="N174" s="2" t="s">
        <v>1140</v>
      </c>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v>913.97</v>
      </c>
      <c r="BE174" s="7">
        <v>913.97</v>
      </c>
      <c r="BF174" s="7"/>
      <c r="BG174" s="7"/>
      <c r="BH174" s="7"/>
      <c r="BI174" s="7"/>
      <c r="BJ174" s="7"/>
      <c r="BK174" s="7"/>
      <c r="BL174" s="7"/>
      <c r="BM174" s="7"/>
      <c r="BN174" s="7"/>
      <c r="BO174" s="7"/>
      <c r="BP174" s="2"/>
      <c r="BQ174" s="8">
        <v>46022</v>
      </c>
      <c r="BR174" s="8"/>
      <c r="BS174" s="2"/>
      <c r="BT174" s="14">
        <f t="shared" si="9"/>
        <v>1827.94</v>
      </c>
      <c r="BU174" s="2" t="str">
        <f t="shared" si="7"/>
        <v>OK</v>
      </c>
      <c r="BV174" s="13">
        <f t="shared" si="8"/>
        <v>0</v>
      </c>
    </row>
    <row r="175" spans="1:74" s="9" customFormat="1" ht="101.25" hidden="1" x14ac:dyDescent="0.25">
      <c r="A175" s="2" t="s">
        <v>1537</v>
      </c>
      <c r="B175" s="2" t="s">
        <v>797</v>
      </c>
      <c r="C175" s="2" t="s">
        <v>681</v>
      </c>
      <c r="D175" s="12" t="s">
        <v>798</v>
      </c>
      <c r="E175" s="2"/>
      <c r="F175" s="2" t="s">
        <v>65</v>
      </c>
      <c r="G175" s="2" t="s">
        <v>2038</v>
      </c>
      <c r="H175" s="2" t="s">
        <v>77</v>
      </c>
      <c r="I175" s="2" t="s">
        <v>686</v>
      </c>
      <c r="J175" s="2" t="s">
        <v>1618</v>
      </c>
      <c r="K175" s="2" t="s">
        <v>67</v>
      </c>
      <c r="L175" s="16">
        <v>1772.44</v>
      </c>
      <c r="M175" s="11">
        <v>1772.44</v>
      </c>
      <c r="N175" s="2" t="s">
        <v>1140</v>
      </c>
      <c r="O175" s="7">
        <v>0</v>
      </c>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v>1240.71</v>
      </c>
      <c r="BE175" s="7">
        <v>531.73</v>
      </c>
      <c r="BF175" s="7"/>
      <c r="BG175" s="7"/>
      <c r="BH175" s="7"/>
      <c r="BI175" s="7"/>
      <c r="BJ175" s="7"/>
      <c r="BK175" s="7"/>
      <c r="BL175" s="7"/>
      <c r="BM175" s="7"/>
      <c r="BN175" s="7"/>
      <c r="BO175" s="7"/>
      <c r="BP175" s="2"/>
      <c r="BQ175" s="8">
        <v>46022</v>
      </c>
      <c r="BR175" s="8"/>
      <c r="BS175" s="2"/>
      <c r="BT175" s="14">
        <f t="shared" si="9"/>
        <v>1772.44</v>
      </c>
      <c r="BU175" s="2" t="str">
        <f t="shared" si="7"/>
        <v>OK</v>
      </c>
      <c r="BV175" s="13">
        <f t="shared" si="8"/>
        <v>0</v>
      </c>
    </row>
    <row r="176" spans="1:74" s="9" customFormat="1" ht="101.25" hidden="1" x14ac:dyDescent="0.25">
      <c r="A176" s="2" t="s">
        <v>1538</v>
      </c>
      <c r="B176" s="2" t="s">
        <v>764</v>
      </c>
      <c r="C176" s="2" t="s">
        <v>681</v>
      </c>
      <c r="D176" s="12" t="s">
        <v>765</v>
      </c>
      <c r="E176" s="2"/>
      <c r="F176" s="2" t="s">
        <v>65</v>
      </c>
      <c r="G176" s="2" t="s">
        <v>2038</v>
      </c>
      <c r="H176" s="2" t="s">
        <v>77</v>
      </c>
      <c r="I176" s="2" t="s">
        <v>686</v>
      </c>
      <c r="J176" s="2" t="s">
        <v>1618</v>
      </c>
      <c r="K176" s="2" t="s">
        <v>67</v>
      </c>
      <c r="L176" s="16">
        <v>1752.31</v>
      </c>
      <c r="M176" s="11">
        <v>1752.31</v>
      </c>
      <c r="N176" s="2" t="s">
        <v>1140</v>
      </c>
      <c r="O176" s="7">
        <v>0</v>
      </c>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f>1752.31/2</f>
        <v>876.15499999999997</v>
      </c>
      <c r="BE176" s="7">
        <f>1752.31/2</f>
        <v>876.15499999999997</v>
      </c>
      <c r="BF176" s="7"/>
      <c r="BG176" s="7"/>
      <c r="BH176" s="7"/>
      <c r="BI176" s="7"/>
      <c r="BJ176" s="7"/>
      <c r="BK176" s="7"/>
      <c r="BL176" s="7"/>
      <c r="BM176" s="7"/>
      <c r="BN176" s="7"/>
      <c r="BO176" s="7"/>
      <c r="BP176" s="2"/>
      <c r="BQ176" s="8">
        <v>46022</v>
      </c>
      <c r="BR176" s="8"/>
      <c r="BS176" s="2"/>
      <c r="BT176" s="14">
        <f t="shared" si="9"/>
        <v>1752.31</v>
      </c>
      <c r="BU176" s="2" t="str">
        <f t="shared" si="7"/>
        <v>OK</v>
      </c>
      <c r="BV176" s="13">
        <f t="shared" si="8"/>
        <v>0</v>
      </c>
    </row>
    <row r="177" spans="1:74" s="9" customFormat="1" ht="101.25" hidden="1" x14ac:dyDescent="0.25">
      <c r="A177" s="2" t="s">
        <v>1539</v>
      </c>
      <c r="B177" s="2" t="s">
        <v>750</v>
      </c>
      <c r="C177" s="2" t="s">
        <v>681</v>
      </c>
      <c r="D177" s="12" t="s">
        <v>751</v>
      </c>
      <c r="E177" s="2"/>
      <c r="F177" s="2" t="s">
        <v>65</v>
      </c>
      <c r="G177" s="2" t="s">
        <v>2038</v>
      </c>
      <c r="H177" s="2" t="s">
        <v>77</v>
      </c>
      <c r="I177" s="2" t="s">
        <v>686</v>
      </c>
      <c r="J177" s="2" t="s">
        <v>1618</v>
      </c>
      <c r="K177" s="2" t="s">
        <v>67</v>
      </c>
      <c r="L177" s="16">
        <v>1393.82</v>
      </c>
      <c r="M177" s="11">
        <v>1393.82</v>
      </c>
      <c r="N177" s="2" t="s">
        <v>1140</v>
      </c>
      <c r="O177" s="7">
        <v>0</v>
      </c>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f>1393.82/2</f>
        <v>696.91</v>
      </c>
      <c r="BE177" s="7">
        <f>1393.82/2</f>
        <v>696.91</v>
      </c>
      <c r="BF177" s="7"/>
      <c r="BG177" s="7"/>
      <c r="BH177" s="7"/>
      <c r="BI177" s="7"/>
      <c r="BJ177" s="7"/>
      <c r="BK177" s="7"/>
      <c r="BL177" s="7"/>
      <c r="BM177" s="7"/>
      <c r="BN177" s="7"/>
      <c r="BO177" s="7"/>
      <c r="BP177" s="2"/>
      <c r="BQ177" s="8">
        <v>46022</v>
      </c>
      <c r="BR177" s="8"/>
      <c r="BS177" s="2"/>
      <c r="BT177" s="14">
        <f t="shared" si="9"/>
        <v>1393.82</v>
      </c>
      <c r="BU177" s="2" t="str">
        <f t="shared" si="7"/>
        <v>OK</v>
      </c>
      <c r="BV177" s="13">
        <f t="shared" si="8"/>
        <v>0</v>
      </c>
    </row>
    <row r="178" spans="1:74" s="9" customFormat="1" ht="101.25" hidden="1" x14ac:dyDescent="0.25">
      <c r="A178" s="2" t="s">
        <v>1540</v>
      </c>
      <c r="B178" s="2" t="s">
        <v>793</v>
      </c>
      <c r="C178" s="2" t="s">
        <v>681</v>
      </c>
      <c r="D178" s="12" t="s">
        <v>794</v>
      </c>
      <c r="E178" s="2"/>
      <c r="F178" s="2" t="s">
        <v>65</v>
      </c>
      <c r="G178" s="2" t="s">
        <v>2038</v>
      </c>
      <c r="H178" s="2" t="s">
        <v>77</v>
      </c>
      <c r="I178" s="2" t="s">
        <v>686</v>
      </c>
      <c r="J178" s="2" t="s">
        <v>1618</v>
      </c>
      <c r="K178" s="2" t="s">
        <v>67</v>
      </c>
      <c r="L178" s="16">
        <v>1244.8</v>
      </c>
      <c r="M178" s="11">
        <v>1244.8</v>
      </c>
      <c r="N178" s="2" t="s">
        <v>1140</v>
      </c>
      <c r="O178" s="7">
        <v>0</v>
      </c>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f>1244.8/2</f>
        <v>622.4</v>
      </c>
      <c r="BE178" s="7">
        <f>1244.8/2</f>
        <v>622.4</v>
      </c>
      <c r="BF178" s="7"/>
      <c r="BG178" s="7"/>
      <c r="BH178" s="7"/>
      <c r="BI178" s="7"/>
      <c r="BJ178" s="7"/>
      <c r="BK178" s="7"/>
      <c r="BL178" s="7"/>
      <c r="BM178" s="7"/>
      <c r="BN178" s="7"/>
      <c r="BO178" s="7"/>
      <c r="BP178" s="2"/>
      <c r="BQ178" s="8">
        <v>46022</v>
      </c>
      <c r="BR178" s="8"/>
      <c r="BS178" s="2"/>
      <c r="BT178" s="14">
        <f t="shared" si="9"/>
        <v>1244.8</v>
      </c>
      <c r="BU178" s="2" t="str">
        <f t="shared" si="7"/>
        <v>OK</v>
      </c>
      <c r="BV178" s="13">
        <f t="shared" si="8"/>
        <v>0</v>
      </c>
    </row>
    <row r="179" spans="1:74" s="9" customFormat="1" ht="101.25" hidden="1" x14ac:dyDescent="0.25">
      <c r="A179" s="2" t="s">
        <v>1541</v>
      </c>
      <c r="B179" s="2" t="s">
        <v>777</v>
      </c>
      <c r="C179" s="2" t="s">
        <v>681</v>
      </c>
      <c r="D179" s="12" t="s">
        <v>778</v>
      </c>
      <c r="E179" s="2"/>
      <c r="F179" s="2" t="s">
        <v>65</v>
      </c>
      <c r="G179" s="2" t="s">
        <v>2038</v>
      </c>
      <c r="H179" s="2" t="s">
        <v>77</v>
      </c>
      <c r="I179" s="2" t="s">
        <v>686</v>
      </c>
      <c r="J179" s="2" t="s">
        <v>1618</v>
      </c>
      <c r="K179" s="2" t="s">
        <v>67</v>
      </c>
      <c r="L179" s="16">
        <v>1056.77</v>
      </c>
      <c r="M179" s="11">
        <v>1056.77</v>
      </c>
      <c r="N179" s="2" t="s">
        <v>1140</v>
      </c>
      <c r="O179" s="7">
        <v>0</v>
      </c>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v>528.39</v>
      </c>
      <c r="BE179" s="7">
        <f>528.38</f>
        <v>528.38</v>
      </c>
      <c r="BF179" s="7"/>
      <c r="BG179" s="7"/>
      <c r="BH179" s="7"/>
      <c r="BI179" s="7"/>
      <c r="BJ179" s="7"/>
      <c r="BK179" s="7"/>
      <c r="BL179" s="7"/>
      <c r="BM179" s="7"/>
      <c r="BN179" s="7"/>
      <c r="BO179" s="7"/>
      <c r="BP179" s="2"/>
      <c r="BQ179" s="8">
        <v>46022</v>
      </c>
      <c r="BR179" s="8"/>
      <c r="BS179" s="8" t="s">
        <v>1744</v>
      </c>
      <c r="BT179" s="14">
        <f t="shared" si="9"/>
        <v>1056.77</v>
      </c>
      <c r="BU179" s="2" t="str">
        <f t="shared" si="7"/>
        <v>OK</v>
      </c>
      <c r="BV179" s="13">
        <f t="shared" si="8"/>
        <v>0</v>
      </c>
    </row>
    <row r="180" spans="1:74" s="9" customFormat="1" ht="101.25" hidden="1" x14ac:dyDescent="0.25">
      <c r="A180" s="2" t="s">
        <v>1542</v>
      </c>
      <c r="B180" s="2" t="s">
        <v>748</v>
      </c>
      <c r="C180" s="2" t="s">
        <v>681</v>
      </c>
      <c r="D180" s="12" t="s">
        <v>749</v>
      </c>
      <c r="E180" s="2"/>
      <c r="F180" s="2" t="s">
        <v>65</v>
      </c>
      <c r="G180" s="2" t="s">
        <v>2038</v>
      </c>
      <c r="H180" s="2" t="s">
        <v>77</v>
      </c>
      <c r="I180" s="2" t="s">
        <v>686</v>
      </c>
      <c r="J180" s="2" t="s">
        <v>1618</v>
      </c>
      <c r="K180" s="2" t="s">
        <v>67</v>
      </c>
      <c r="L180" s="16">
        <v>726.28</v>
      </c>
      <c r="M180" s="11">
        <v>726.28</v>
      </c>
      <c r="N180" s="2" t="s">
        <v>1140</v>
      </c>
      <c r="O180" s="7">
        <v>0</v>
      </c>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f>726.28/2</f>
        <v>363.14</v>
      </c>
      <c r="BE180" s="7">
        <f>726.28/2</f>
        <v>363.14</v>
      </c>
      <c r="BF180" s="7"/>
      <c r="BG180" s="7"/>
      <c r="BH180" s="7"/>
      <c r="BI180" s="7"/>
      <c r="BJ180" s="7"/>
      <c r="BK180" s="7"/>
      <c r="BL180" s="7"/>
      <c r="BM180" s="7"/>
      <c r="BN180" s="7"/>
      <c r="BO180" s="7"/>
      <c r="BP180" s="2"/>
      <c r="BQ180" s="8">
        <v>46022</v>
      </c>
      <c r="BR180" s="8"/>
      <c r="BS180" s="2"/>
      <c r="BT180" s="14">
        <f t="shared" si="9"/>
        <v>726.28</v>
      </c>
      <c r="BU180" s="2" t="str">
        <f t="shared" si="7"/>
        <v>OK</v>
      </c>
      <c r="BV180" s="13">
        <f t="shared" si="8"/>
        <v>0</v>
      </c>
    </row>
    <row r="181" spans="1:74" s="9" customFormat="1" ht="101.25" hidden="1" x14ac:dyDescent="0.25">
      <c r="A181" s="2" t="s">
        <v>1543</v>
      </c>
      <c r="B181" s="2" t="s">
        <v>783</v>
      </c>
      <c r="C181" s="2" t="s">
        <v>681</v>
      </c>
      <c r="D181" s="12" t="s">
        <v>784</v>
      </c>
      <c r="E181" s="2"/>
      <c r="F181" s="2" t="s">
        <v>65</v>
      </c>
      <c r="G181" s="2" t="s">
        <v>2038</v>
      </c>
      <c r="H181" s="2" t="s">
        <v>77</v>
      </c>
      <c r="I181" s="2" t="s">
        <v>686</v>
      </c>
      <c r="J181" s="2" t="s">
        <v>1618</v>
      </c>
      <c r="K181" s="2" t="s">
        <v>67</v>
      </c>
      <c r="L181" s="16">
        <v>640.99</v>
      </c>
      <c r="M181" s="11">
        <v>640.99</v>
      </c>
      <c r="N181" s="2" t="s">
        <v>1140</v>
      </c>
      <c r="O181" s="7">
        <v>0</v>
      </c>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v>320.49</v>
      </c>
      <c r="BE181" s="7">
        <v>320.5</v>
      </c>
      <c r="BF181" s="7"/>
      <c r="BG181" s="7"/>
      <c r="BH181" s="7"/>
      <c r="BI181" s="7"/>
      <c r="BJ181" s="7"/>
      <c r="BK181" s="7"/>
      <c r="BL181" s="7"/>
      <c r="BM181" s="7"/>
      <c r="BN181" s="7"/>
      <c r="BO181" s="7"/>
      <c r="BP181" s="2"/>
      <c r="BQ181" s="8">
        <v>46022</v>
      </c>
      <c r="BR181" s="8"/>
      <c r="BS181" s="2"/>
      <c r="BT181" s="14">
        <f t="shared" si="9"/>
        <v>640.99</v>
      </c>
      <c r="BU181" s="2" t="str">
        <f t="shared" si="7"/>
        <v>OK</v>
      </c>
      <c r="BV181" s="13">
        <f t="shared" si="8"/>
        <v>0</v>
      </c>
    </row>
    <row r="182" spans="1:74" s="9" customFormat="1" ht="101.25" hidden="1" x14ac:dyDescent="0.25">
      <c r="A182" s="2" t="s">
        <v>1544</v>
      </c>
      <c r="B182" s="2" t="s">
        <v>746</v>
      </c>
      <c r="C182" s="2" t="s">
        <v>681</v>
      </c>
      <c r="D182" s="12" t="s">
        <v>747</v>
      </c>
      <c r="E182" s="2"/>
      <c r="F182" s="2" t="s">
        <v>65</v>
      </c>
      <c r="G182" s="2" t="s">
        <v>2038</v>
      </c>
      <c r="H182" s="2" t="s">
        <v>77</v>
      </c>
      <c r="I182" s="2" t="s">
        <v>686</v>
      </c>
      <c r="J182" s="2" t="s">
        <v>1618</v>
      </c>
      <c r="K182" s="2" t="s">
        <v>67</v>
      </c>
      <c r="L182" s="16">
        <v>559.5</v>
      </c>
      <c r="M182" s="11">
        <v>559.5</v>
      </c>
      <c r="N182" s="2" t="s">
        <v>1140</v>
      </c>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f>559.5/2</f>
        <v>279.75</v>
      </c>
      <c r="BE182" s="7">
        <f>559.5/2</f>
        <v>279.75</v>
      </c>
      <c r="BF182" s="7">
        <v>0</v>
      </c>
      <c r="BG182" s="7"/>
      <c r="BH182" s="7"/>
      <c r="BI182" s="7"/>
      <c r="BJ182" s="7"/>
      <c r="BK182" s="7"/>
      <c r="BL182" s="7"/>
      <c r="BM182" s="7"/>
      <c r="BN182" s="7"/>
      <c r="BO182" s="7"/>
      <c r="BP182" s="2"/>
      <c r="BQ182" s="8">
        <v>46022</v>
      </c>
      <c r="BR182" s="8"/>
      <c r="BS182" s="2"/>
      <c r="BT182" s="14">
        <f t="shared" si="9"/>
        <v>559.5</v>
      </c>
      <c r="BU182" s="2" t="str">
        <f t="shared" si="7"/>
        <v>OK</v>
      </c>
      <c r="BV182" s="13">
        <f t="shared" si="8"/>
        <v>0</v>
      </c>
    </row>
    <row r="183" spans="1:74" s="9" customFormat="1" ht="101.25" hidden="1" x14ac:dyDescent="0.25">
      <c r="A183" s="2" t="s">
        <v>1545</v>
      </c>
      <c r="B183" s="2" t="s">
        <v>801</v>
      </c>
      <c r="C183" s="2" t="s">
        <v>681</v>
      </c>
      <c r="D183" s="12" t="s">
        <v>802</v>
      </c>
      <c r="E183" s="2"/>
      <c r="F183" s="2" t="s">
        <v>65</v>
      </c>
      <c r="G183" s="2" t="s">
        <v>2038</v>
      </c>
      <c r="H183" s="2" t="s">
        <v>77</v>
      </c>
      <c r="I183" s="2" t="s">
        <v>686</v>
      </c>
      <c r="J183" s="2" t="s">
        <v>1618</v>
      </c>
      <c r="K183" s="2" t="s">
        <v>67</v>
      </c>
      <c r="L183" s="16">
        <v>486.33</v>
      </c>
      <c r="M183" s="11">
        <v>486.33</v>
      </c>
      <c r="N183" s="2" t="s">
        <v>1140</v>
      </c>
      <c r="O183" s="7">
        <v>0</v>
      </c>
      <c r="P183" s="7"/>
      <c r="Q183" s="7"/>
      <c r="R183" s="7"/>
      <c r="S183" s="7"/>
      <c r="T183" s="7"/>
      <c r="U183" s="7"/>
      <c r="V183" s="44"/>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v>243.16</v>
      </c>
      <c r="BE183" s="7">
        <v>243.17</v>
      </c>
      <c r="BF183" s="7"/>
      <c r="BG183" s="7"/>
      <c r="BH183" s="7"/>
      <c r="BI183" s="7"/>
      <c r="BJ183" s="7"/>
      <c r="BK183" s="7"/>
      <c r="BL183" s="7"/>
      <c r="BM183" s="7"/>
      <c r="BN183" s="7"/>
      <c r="BO183" s="7">
        <v>0</v>
      </c>
      <c r="BP183" s="2"/>
      <c r="BQ183" s="8">
        <v>46022</v>
      </c>
      <c r="BR183" s="8"/>
      <c r="BS183" s="2"/>
      <c r="BT183" s="14">
        <f t="shared" si="9"/>
        <v>486.33</v>
      </c>
      <c r="BU183" s="2" t="str">
        <f t="shared" si="7"/>
        <v>OK</v>
      </c>
      <c r="BV183" s="13">
        <f t="shared" si="8"/>
        <v>0</v>
      </c>
    </row>
    <row r="184" spans="1:74" s="9" customFormat="1" ht="101.25" hidden="1" x14ac:dyDescent="0.25">
      <c r="A184" s="2" t="s">
        <v>1546</v>
      </c>
      <c r="B184" s="2" t="s">
        <v>809</v>
      </c>
      <c r="C184" s="2" t="s">
        <v>681</v>
      </c>
      <c r="D184" s="12" t="s">
        <v>810</v>
      </c>
      <c r="E184" s="2"/>
      <c r="F184" s="2" t="s">
        <v>65</v>
      </c>
      <c r="G184" s="2" t="s">
        <v>2038</v>
      </c>
      <c r="H184" s="2" t="s">
        <v>77</v>
      </c>
      <c r="I184" s="2" t="s">
        <v>686</v>
      </c>
      <c r="J184" s="2" t="s">
        <v>1618</v>
      </c>
      <c r="K184" s="2" t="s">
        <v>67</v>
      </c>
      <c r="L184" s="16">
        <v>466.78</v>
      </c>
      <c r="M184" s="11">
        <v>466.78</v>
      </c>
      <c r="N184" s="2" t="s">
        <v>1140</v>
      </c>
      <c r="O184" s="7">
        <v>0</v>
      </c>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v>51.35</v>
      </c>
      <c r="BE184" s="7">
        <v>415.43</v>
      </c>
      <c r="BF184" s="7"/>
      <c r="BG184" s="7"/>
      <c r="BH184" s="7"/>
      <c r="BI184" s="7"/>
      <c r="BJ184" s="7"/>
      <c r="BK184" s="7"/>
      <c r="BL184" s="7"/>
      <c r="BM184" s="7"/>
      <c r="BN184" s="7"/>
      <c r="BO184" s="7"/>
      <c r="BP184" s="2"/>
      <c r="BQ184" s="8">
        <v>46022</v>
      </c>
      <c r="BR184" s="8"/>
      <c r="BS184" s="2"/>
      <c r="BT184" s="14">
        <f t="shared" si="9"/>
        <v>466.78000000000003</v>
      </c>
      <c r="BU184" s="2" t="str">
        <f t="shared" si="7"/>
        <v>OK</v>
      </c>
      <c r="BV184" s="13">
        <f t="shared" si="8"/>
        <v>0</v>
      </c>
    </row>
    <row r="185" spans="1:74" s="9" customFormat="1" ht="101.25" hidden="1" x14ac:dyDescent="0.25">
      <c r="A185" s="2" t="s">
        <v>1548</v>
      </c>
      <c r="B185" s="2" t="s">
        <v>805</v>
      </c>
      <c r="C185" s="2" t="s">
        <v>681</v>
      </c>
      <c r="D185" s="12" t="s">
        <v>806</v>
      </c>
      <c r="E185" s="2"/>
      <c r="F185" s="2" t="s">
        <v>65</v>
      </c>
      <c r="G185" s="2" t="s">
        <v>2038</v>
      </c>
      <c r="H185" s="2" t="s">
        <v>77</v>
      </c>
      <c r="I185" s="2" t="s">
        <v>686</v>
      </c>
      <c r="J185" s="2" t="s">
        <v>1618</v>
      </c>
      <c r="K185" s="2" t="s">
        <v>67</v>
      </c>
      <c r="L185" s="16">
        <v>445.53</v>
      </c>
      <c r="M185" s="11">
        <v>445.53</v>
      </c>
      <c r="N185" s="2" t="s">
        <v>1140</v>
      </c>
      <c r="O185" s="7">
        <v>0</v>
      </c>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f>445.53/2</f>
        <v>222.76499999999999</v>
      </c>
      <c r="BE185" s="7">
        <f>445.53/2</f>
        <v>222.76499999999999</v>
      </c>
      <c r="BF185" s="7"/>
      <c r="BG185" s="7"/>
      <c r="BH185" s="7"/>
      <c r="BI185" s="7"/>
      <c r="BJ185" s="7"/>
      <c r="BK185" s="7"/>
      <c r="BL185" s="7"/>
      <c r="BM185" s="7"/>
      <c r="BN185" s="7"/>
      <c r="BO185" s="7"/>
      <c r="BP185" s="2"/>
      <c r="BQ185" s="8">
        <v>46022</v>
      </c>
      <c r="BR185" s="8"/>
      <c r="BS185" s="2"/>
      <c r="BT185" s="14">
        <f t="shared" si="9"/>
        <v>445.53</v>
      </c>
      <c r="BU185" s="2" t="str">
        <f t="shared" si="7"/>
        <v>OK</v>
      </c>
      <c r="BV185" s="13">
        <f t="shared" si="8"/>
        <v>0</v>
      </c>
    </row>
    <row r="186" spans="1:74" s="9" customFormat="1" ht="101.25" hidden="1" x14ac:dyDescent="0.25">
      <c r="A186" s="2" t="s">
        <v>1585</v>
      </c>
      <c r="B186" s="2" t="s">
        <v>760</v>
      </c>
      <c r="C186" s="2" t="s">
        <v>681</v>
      </c>
      <c r="D186" s="12" t="s">
        <v>761</v>
      </c>
      <c r="E186" s="2"/>
      <c r="F186" s="2" t="s">
        <v>65</v>
      </c>
      <c r="G186" s="2" t="s">
        <v>2038</v>
      </c>
      <c r="H186" s="2" t="s">
        <v>77</v>
      </c>
      <c r="I186" s="2" t="s">
        <v>686</v>
      </c>
      <c r="J186" s="2" t="s">
        <v>1618</v>
      </c>
      <c r="K186" s="2" t="s">
        <v>67</v>
      </c>
      <c r="L186" s="16">
        <v>424</v>
      </c>
      <c r="M186" s="11">
        <v>424</v>
      </c>
      <c r="N186" s="2" t="s">
        <v>1140</v>
      </c>
      <c r="O186" s="7">
        <v>0</v>
      </c>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f>424/2</f>
        <v>212</v>
      </c>
      <c r="BE186" s="7">
        <f>424/2</f>
        <v>212</v>
      </c>
      <c r="BF186" s="7"/>
      <c r="BG186" s="7"/>
      <c r="BH186" s="7"/>
      <c r="BI186" s="7"/>
      <c r="BJ186" s="7"/>
      <c r="BK186" s="7"/>
      <c r="BL186" s="7"/>
      <c r="BM186" s="7"/>
      <c r="BN186" s="7"/>
      <c r="BO186" s="7"/>
      <c r="BP186" s="2"/>
      <c r="BQ186" s="8">
        <v>46022</v>
      </c>
      <c r="BR186" s="8"/>
      <c r="BS186" s="2"/>
      <c r="BT186" s="14">
        <f t="shared" si="9"/>
        <v>424</v>
      </c>
      <c r="BU186" s="2" t="str">
        <f t="shared" si="7"/>
        <v>OK</v>
      </c>
      <c r="BV186" s="13">
        <f t="shared" si="8"/>
        <v>0</v>
      </c>
    </row>
    <row r="187" spans="1:74" s="9" customFormat="1" ht="101.25" hidden="1" x14ac:dyDescent="0.25">
      <c r="A187" s="2" t="s">
        <v>1587</v>
      </c>
      <c r="B187" s="2" t="s">
        <v>775</v>
      </c>
      <c r="C187" s="2" t="s">
        <v>681</v>
      </c>
      <c r="D187" s="12" t="s">
        <v>776</v>
      </c>
      <c r="E187" s="2"/>
      <c r="F187" s="2" t="s">
        <v>65</v>
      </c>
      <c r="G187" s="2" t="s">
        <v>2038</v>
      </c>
      <c r="H187" s="2" t="s">
        <v>77</v>
      </c>
      <c r="I187" s="2" t="s">
        <v>686</v>
      </c>
      <c r="J187" s="2" t="s">
        <v>1618</v>
      </c>
      <c r="K187" s="2" t="s">
        <v>67</v>
      </c>
      <c r="L187" s="16">
        <v>381.24</v>
      </c>
      <c r="M187" s="11">
        <v>381.24</v>
      </c>
      <c r="N187" s="2" t="s">
        <v>1140</v>
      </c>
      <c r="O187" s="7">
        <v>0</v>
      </c>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f>381.24/2</f>
        <v>190.62</v>
      </c>
      <c r="BE187" s="7">
        <f>381.24/2</f>
        <v>190.62</v>
      </c>
      <c r="BF187" s="7"/>
      <c r="BG187" s="7"/>
      <c r="BH187" s="7"/>
      <c r="BI187" s="7"/>
      <c r="BJ187" s="7"/>
      <c r="BK187" s="7"/>
      <c r="BL187" s="7"/>
      <c r="BM187" s="7"/>
      <c r="BN187" s="7"/>
      <c r="BO187" s="7"/>
      <c r="BP187" s="2"/>
      <c r="BQ187" s="8">
        <v>46022</v>
      </c>
      <c r="BR187" s="8"/>
      <c r="BS187" s="2"/>
      <c r="BT187" s="14">
        <f t="shared" si="9"/>
        <v>381.24</v>
      </c>
      <c r="BU187" s="2" t="str">
        <f t="shared" si="7"/>
        <v>OK</v>
      </c>
      <c r="BV187" s="13">
        <f t="shared" si="8"/>
        <v>0</v>
      </c>
    </row>
    <row r="188" spans="1:74" s="9" customFormat="1" ht="101.25" hidden="1" x14ac:dyDescent="0.25">
      <c r="A188" s="2" t="s">
        <v>1588</v>
      </c>
      <c r="B188" s="2" t="s">
        <v>791</v>
      </c>
      <c r="C188" s="2" t="s">
        <v>681</v>
      </c>
      <c r="D188" s="12" t="s">
        <v>792</v>
      </c>
      <c r="E188" s="2"/>
      <c r="F188" s="2" t="s">
        <v>65</v>
      </c>
      <c r="G188" s="2" t="s">
        <v>2038</v>
      </c>
      <c r="H188" s="2" t="s">
        <v>77</v>
      </c>
      <c r="I188" s="2" t="s">
        <v>686</v>
      </c>
      <c r="J188" s="2" t="s">
        <v>1618</v>
      </c>
      <c r="K188" s="2" t="s">
        <v>67</v>
      </c>
      <c r="L188" s="16">
        <v>325.49</v>
      </c>
      <c r="M188" s="11">
        <v>325.49</v>
      </c>
      <c r="N188" s="2" t="s">
        <v>1140</v>
      </c>
      <c r="O188" s="7">
        <v>0</v>
      </c>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v>169.25</v>
      </c>
      <c r="BE188" s="7">
        <v>156.24</v>
      </c>
      <c r="BF188" s="7"/>
      <c r="BG188" s="7"/>
      <c r="BH188" s="7"/>
      <c r="BI188" s="7"/>
      <c r="BJ188" s="7"/>
      <c r="BK188" s="7"/>
      <c r="BL188" s="7"/>
      <c r="BM188" s="7"/>
      <c r="BN188" s="7"/>
      <c r="BO188" s="7"/>
      <c r="BP188" s="2"/>
      <c r="BQ188" s="8">
        <v>46022</v>
      </c>
      <c r="BR188" s="8"/>
      <c r="BS188" s="2" t="s">
        <v>1756</v>
      </c>
      <c r="BT188" s="14">
        <f t="shared" si="9"/>
        <v>325.49</v>
      </c>
      <c r="BU188" s="2" t="str">
        <f t="shared" si="7"/>
        <v>OK</v>
      </c>
      <c r="BV188" s="13">
        <f t="shared" si="8"/>
        <v>0</v>
      </c>
    </row>
    <row r="189" spans="1:74" s="9" customFormat="1" ht="101.25" hidden="1" x14ac:dyDescent="0.25">
      <c r="A189" s="2" t="s">
        <v>1589</v>
      </c>
      <c r="B189" s="2" t="s">
        <v>771</v>
      </c>
      <c r="C189" s="2" t="s">
        <v>681</v>
      </c>
      <c r="D189" s="12" t="s">
        <v>772</v>
      </c>
      <c r="E189" s="2"/>
      <c r="F189" s="2" t="s">
        <v>65</v>
      </c>
      <c r="G189" s="2" t="s">
        <v>2038</v>
      </c>
      <c r="H189" s="2" t="s">
        <v>77</v>
      </c>
      <c r="I189" s="2" t="s">
        <v>686</v>
      </c>
      <c r="J189" s="2" t="s">
        <v>1618</v>
      </c>
      <c r="K189" s="2" t="s">
        <v>67</v>
      </c>
      <c r="L189" s="16">
        <v>259.39</v>
      </c>
      <c r="M189" s="11">
        <v>259.39</v>
      </c>
      <c r="N189" s="2" t="s">
        <v>1140</v>
      </c>
      <c r="O189" s="7">
        <v>0</v>
      </c>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f>259.39/2</f>
        <v>129.69499999999999</v>
      </c>
      <c r="BE189" s="7">
        <f>259.39/2</f>
        <v>129.69499999999999</v>
      </c>
      <c r="BF189" s="7"/>
      <c r="BG189" s="7"/>
      <c r="BH189" s="7"/>
      <c r="BI189" s="7"/>
      <c r="BJ189" s="7"/>
      <c r="BK189" s="7"/>
      <c r="BL189" s="7"/>
      <c r="BM189" s="7"/>
      <c r="BN189" s="7"/>
      <c r="BO189" s="7"/>
      <c r="BP189" s="2"/>
      <c r="BQ189" s="8">
        <v>46022</v>
      </c>
      <c r="BR189" s="8"/>
      <c r="BS189" s="2" t="s">
        <v>1756</v>
      </c>
      <c r="BT189" s="14">
        <f t="shared" si="9"/>
        <v>259.39</v>
      </c>
      <c r="BU189" s="2" t="str">
        <f t="shared" si="7"/>
        <v>OK</v>
      </c>
      <c r="BV189" s="13">
        <f t="shared" si="8"/>
        <v>0</v>
      </c>
    </row>
    <row r="190" spans="1:74" s="9" customFormat="1" ht="101.25" hidden="1" x14ac:dyDescent="0.25">
      <c r="A190" s="2" t="s">
        <v>1590</v>
      </c>
      <c r="B190" s="2" t="s">
        <v>769</v>
      </c>
      <c r="C190" s="2" t="s">
        <v>681</v>
      </c>
      <c r="D190" s="12" t="s">
        <v>770</v>
      </c>
      <c r="E190" s="2"/>
      <c r="F190" s="2" t="s">
        <v>65</v>
      </c>
      <c r="G190" s="2" t="s">
        <v>2038</v>
      </c>
      <c r="H190" s="2" t="s">
        <v>77</v>
      </c>
      <c r="I190" s="2" t="s">
        <v>686</v>
      </c>
      <c r="J190" s="2" t="s">
        <v>1618</v>
      </c>
      <c r="K190" s="2" t="s">
        <v>67</v>
      </c>
      <c r="L190" s="16">
        <v>171.11</v>
      </c>
      <c r="M190" s="11">
        <v>171.11</v>
      </c>
      <c r="N190" s="2" t="s">
        <v>1140</v>
      </c>
      <c r="O190" s="7">
        <v>0</v>
      </c>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v>112.92</v>
      </c>
      <c r="BE190" s="7">
        <v>58.19</v>
      </c>
      <c r="BF190" s="7"/>
      <c r="BG190" s="7"/>
      <c r="BH190" s="7"/>
      <c r="BI190" s="7"/>
      <c r="BJ190" s="7"/>
      <c r="BK190" s="7"/>
      <c r="BL190" s="7"/>
      <c r="BM190" s="7"/>
      <c r="BN190" s="7"/>
      <c r="BO190" s="7"/>
      <c r="BP190" s="2"/>
      <c r="BQ190" s="8">
        <v>46022</v>
      </c>
      <c r="BR190" s="8"/>
      <c r="BS190" s="2" t="s">
        <v>1756</v>
      </c>
      <c r="BT190" s="14">
        <f t="shared" si="9"/>
        <v>171.11</v>
      </c>
      <c r="BU190" s="2" t="str">
        <f t="shared" si="7"/>
        <v>OK</v>
      </c>
      <c r="BV190" s="13">
        <f t="shared" si="8"/>
        <v>0</v>
      </c>
    </row>
    <row r="191" spans="1:74" s="9" customFormat="1" ht="101.25" hidden="1" x14ac:dyDescent="0.25">
      <c r="A191" s="2" t="s">
        <v>1595</v>
      </c>
      <c r="B191" s="2" t="s">
        <v>706</v>
      </c>
      <c r="C191" s="2" t="s">
        <v>681</v>
      </c>
      <c r="D191" s="12" t="s">
        <v>707</v>
      </c>
      <c r="E191" s="2"/>
      <c r="F191" s="2" t="s">
        <v>65</v>
      </c>
      <c r="G191" s="2" t="s">
        <v>2038</v>
      </c>
      <c r="H191" s="2" t="s">
        <v>77</v>
      </c>
      <c r="I191" s="2" t="s">
        <v>686</v>
      </c>
      <c r="J191" s="2" t="s">
        <v>1618</v>
      </c>
      <c r="K191" s="2" t="s">
        <v>67</v>
      </c>
      <c r="L191" s="16">
        <v>132</v>
      </c>
      <c r="M191" s="11">
        <v>132</v>
      </c>
      <c r="N191" s="2" t="s">
        <v>1140</v>
      </c>
      <c r="O191" s="7">
        <v>0</v>
      </c>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v>66</v>
      </c>
      <c r="BE191" s="7">
        <v>66</v>
      </c>
      <c r="BF191" s="7"/>
      <c r="BG191" s="7"/>
      <c r="BH191" s="7"/>
      <c r="BI191" s="7"/>
      <c r="BJ191" s="7"/>
      <c r="BK191" s="7"/>
      <c r="BL191" s="7"/>
      <c r="BM191" s="7"/>
      <c r="BN191" s="7"/>
      <c r="BO191" s="7"/>
      <c r="BP191" s="2"/>
      <c r="BQ191" s="8">
        <v>46022</v>
      </c>
      <c r="BR191" s="8"/>
      <c r="BS191" s="2" t="s">
        <v>1756</v>
      </c>
      <c r="BT191" s="14">
        <f t="shared" si="9"/>
        <v>132</v>
      </c>
      <c r="BU191" s="2" t="str">
        <f t="shared" si="7"/>
        <v>OK</v>
      </c>
      <c r="BV191" s="13">
        <f t="shared" si="8"/>
        <v>0</v>
      </c>
    </row>
    <row r="192" spans="1:74" s="9" customFormat="1" ht="101.25" hidden="1" x14ac:dyDescent="0.25">
      <c r="A192" s="2" t="s">
        <v>1596</v>
      </c>
      <c r="B192" s="2" t="s">
        <v>781</v>
      </c>
      <c r="C192" s="2" t="s">
        <v>681</v>
      </c>
      <c r="D192" s="12" t="s">
        <v>782</v>
      </c>
      <c r="E192" s="2"/>
      <c r="F192" s="2" t="s">
        <v>65</v>
      </c>
      <c r="G192" s="2" t="s">
        <v>2038</v>
      </c>
      <c r="H192" s="2" t="s">
        <v>77</v>
      </c>
      <c r="I192" s="2" t="s">
        <v>686</v>
      </c>
      <c r="J192" s="2" t="s">
        <v>1618</v>
      </c>
      <c r="K192" s="2" t="s">
        <v>67</v>
      </c>
      <c r="L192" s="16">
        <v>59.8</v>
      </c>
      <c r="M192" s="11">
        <v>59.8</v>
      </c>
      <c r="N192" s="2" t="s">
        <v>1140</v>
      </c>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v>29.9</v>
      </c>
      <c r="BE192" s="7">
        <v>29.9</v>
      </c>
      <c r="BF192" s="7"/>
      <c r="BG192" s="7"/>
      <c r="BH192" s="7"/>
      <c r="BI192" s="7"/>
      <c r="BJ192" s="7"/>
      <c r="BK192" s="7"/>
      <c r="BL192" s="7"/>
      <c r="BM192" s="7"/>
      <c r="BN192" s="7"/>
      <c r="BO192" s="7">
        <v>0</v>
      </c>
      <c r="BP192" s="2"/>
      <c r="BQ192" s="8">
        <v>46022</v>
      </c>
      <c r="BR192" s="8"/>
      <c r="BS192" s="8" t="s">
        <v>1757</v>
      </c>
      <c r="BT192" s="14">
        <f t="shared" si="9"/>
        <v>59.8</v>
      </c>
      <c r="BU192" s="2" t="str">
        <f t="shared" si="7"/>
        <v>OK</v>
      </c>
      <c r="BV192" s="13">
        <f t="shared" si="8"/>
        <v>0</v>
      </c>
    </row>
    <row r="193" spans="1:74" s="9" customFormat="1" ht="101.25" hidden="1" x14ac:dyDescent="0.25">
      <c r="A193" s="2" t="s">
        <v>1597</v>
      </c>
      <c r="B193" s="2" t="s">
        <v>773</v>
      </c>
      <c r="C193" s="2" t="s">
        <v>681</v>
      </c>
      <c r="D193" s="12" t="s">
        <v>774</v>
      </c>
      <c r="E193" s="2"/>
      <c r="F193" s="2" t="s">
        <v>65</v>
      </c>
      <c r="G193" s="2" t="s">
        <v>2038</v>
      </c>
      <c r="H193" s="2" t="s">
        <v>77</v>
      </c>
      <c r="I193" s="2" t="s">
        <v>686</v>
      </c>
      <c r="J193" s="2" t="s">
        <v>1618</v>
      </c>
      <c r="K193" s="2" t="s">
        <v>67</v>
      </c>
      <c r="L193" s="16">
        <v>23.32</v>
      </c>
      <c r="M193" s="11">
        <v>23.32</v>
      </c>
      <c r="N193" s="2" t="s">
        <v>1140</v>
      </c>
      <c r="O193" s="7">
        <v>0</v>
      </c>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f>23.32/2</f>
        <v>11.66</v>
      </c>
      <c r="BE193" s="7">
        <f>23.32/2</f>
        <v>11.66</v>
      </c>
      <c r="BF193" s="7"/>
      <c r="BG193" s="7"/>
      <c r="BH193" s="7"/>
      <c r="BI193" s="7"/>
      <c r="BJ193" s="7"/>
      <c r="BK193" s="7"/>
      <c r="BL193" s="7"/>
      <c r="BM193" s="7"/>
      <c r="BN193" s="7"/>
      <c r="BO193" s="7"/>
      <c r="BP193" s="2"/>
      <c r="BQ193" s="8">
        <v>46022</v>
      </c>
      <c r="BR193" s="8"/>
      <c r="BS193" s="2"/>
      <c r="BT193" s="14">
        <f t="shared" si="9"/>
        <v>23.32</v>
      </c>
      <c r="BU193" s="2" t="str">
        <f t="shared" si="7"/>
        <v>OK</v>
      </c>
      <c r="BV193" s="13">
        <f t="shared" si="8"/>
        <v>0</v>
      </c>
    </row>
    <row r="194" spans="1:74" s="9" customFormat="1" ht="101.25" hidden="1" x14ac:dyDescent="0.25">
      <c r="A194" s="2" t="s">
        <v>1602</v>
      </c>
      <c r="B194" s="2" t="s">
        <v>708</v>
      </c>
      <c r="C194" s="2" t="s">
        <v>681</v>
      </c>
      <c r="D194" s="12" t="s">
        <v>709</v>
      </c>
      <c r="E194" s="2"/>
      <c r="F194" s="2" t="s">
        <v>65</v>
      </c>
      <c r="G194" s="2" t="s">
        <v>2038</v>
      </c>
      <c r="H194" s="2" t="s">
        <v>77</v>
      </c>
      <c r="I194" s="2" t="s">
        <v>686</v>
      </c>
      <c r="J194" s="2" t="s">
        <v>1618</v>
      </c>
      <c r="K194" s="2" t="s">
        <v>67</v>
      </c>
      <c r="L194" s="16">
        <v>21.78</v>
      </c>
      <c r="M194" s="11">
        <v>21.78</v>
      </c>
      <c r="N194" s="2" t="s">
        <v>1140</v>
      </c>
      <c r="O194" s="7">
        <v>0</v>
      </c>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v>10.89</v>
      </c>
      <c r="BE194" s="7">
        <v>10.89</v>
      </c>
      <c r="BF194" s="7"/>
      <c r="BG194" s="7"/>
      <c r="BH194" s="7"/>
      <c r="BI194" s="7"/>
      <c r="BJ194" s="7"/>
      <c r="BK194" s="7"/>
      <c r="BL194" s="7"/>
      <c r="BM194" s="7"/>
      <c r="BN194" s="7"/>
      <c r="BO194" s="7"/>
      <c r="BP194" s="2"/>
      <c r="BQ194" s="8">
        <v>46022</v>
      </c>
      <c r="BR194" s="8"/>
      <c r="BS194" s="2"/>
      <c r="BT194" s="14">
        <f t="shared" si="9"/>
        <v>21.78</v>
      </c>
      <c r="BU194" s="2" t="str">
        <f t="shared" si="7"/>
        <v>OK</v>
      </c>
      <c r="BV194" s="13">
        <f t="shared" si="8"/>
        <v>0</v>
      </c>
    </row>
    <row r="195" spans="1:74" s="9" customFormat="1" ht="78.75" hidden="1" x14ac:dyDescent="0.25">
      <c r="A195" s="2" t="s">
        <v>1493</v>
      </c>
      <c r="B195" s="2" t="s">
        <v>993</v>
      </c>
      <c r="C195" s="2" t="s">
        <v>681</v>
      </c>
      <c r="D195" s="12" t="s">
        <v>994</v>
      </c>
      <c r="E195" s="2"/>
      <c r="F195" s="2" t="s">
        <v>65</v>
      </c>
      <c r="G195" s="2" t="s">
        <v>1810</v>
      </c>
      <c r="H195" s="2" t="s">
        <v>66</v>
      </c>
      <c r="I195" s="2" t="s">
        <v>693</v>
      </c>
      <c r="J195" s="2">
        <v>1</v>
      </c>
      <c r="K195" s="2" t="s">
        <v>67</v>
      </c>
      <c r="L195" s="22">
        <v>27000</v>
      </c>
      <c r="M195" s="22">
        <v>27000</v>
      </c>
      <c r="N195" s="2" t="s">
        <v>14</v>
      </c>
      <c r="O195" s="7">
        <v>0</v>
      </c>
      <c r="P195" s="7"/>
      <c r="Q195" s="7"/>
      <c r="R195" s="7"/>
      <c r="S195" s="7"/>
      <c r="T195" s="7"/>
      <c r="U195" s="7"/>
      <c r="V195" s="7">
        <v>27000</v>
      </c>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8">
        <v>45845</v>
      </c>
      <c r="BQ195" s="2"/>
      <c r="BR195" s="2" t="s">
        <v>1800</v>
      </c>
      <c r="BS195" s="2" t="s">
        <v>1756</v>
      </c>
      <c r="BT195" s="14">
        <f t="shared" si="9"/>
        <v>27000</v>
      </c>
      <c r="BU195" s="2" t="str">
        <f t="shared" si="7"/>
        <v>OK</v>
      </c>
      <c r="BV195" s="13">
        <f t="shared" si="8"/>
        <v>0</v>
      </c>
    </row>
    <row r="196" spans="1:74" s="9" customFormat="1" ht="33.75" hidden="1" x14ac:dyDescent="0.25">
      <c r="A196" s="2" t="s">
        <v>1531</v>
      </c>
      <c r="B196" s="2" t="s">
        <v>734</v>
      </c>
      <c r="C196" s="2" t="s">
        <v>681</v>
      </c>
      <c r="D196" s="12" t="s">
        <v>735</v>
      </c>
      <c r="E196" s="2"/>
      <c r="F196" s="2" t="s">
        <v>65</v>
      </c>
      <c r="G196" s="2" t="s">
        <v>1810</v>
      </c>
      <c r="H196" s="2" t="s">
        <v>66</v>
      </c>
      <c r="I196" s="2" t="s">
        <v>686</v>
      </c>
      <c r="J196" s="2" t="s">
        <v>1618</v>
      </c>
      <c r="K196" s="2" t="s">
        <v>67</v>
      </c>
      <c r="L196" s="22">
        <v>3800</v>
      </c>
      <c r="M196" s="22">
        <v>3800</v>
      </c>
      <c r="N196" s="2" t="s">
        <v>14</v>
      </c>
      <c r="O196" s="7">
        <v>0</v>
      </c>
      <c r="P196" s="7"/>
      <c r="Q196" s="7"/>
      <c r="R196" s="7"/>
      <c r="S196" s="7"/>
      <c r="T196" s="7"/>
      <c r="U196" s="7"/>
      <c r="V196" s="7">
        <v>3800</v>
      </c>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8">
        <v>46006</v>
      </c>
      <c r="BQ196" s="2"/>
      <c r="BR196" s="2" t="s">
        <v>1800</v>
      </c>
      <c r="BS196" s="8" t="s">
        <v>1757</v>
      </c>
      <c r="BT196" s="14">
        <f t="shared" si="9"/>
        <v>3800</v>
      </c>
      <c r="BU196" s="2" t="str">
        <f t="shared" si="7"/>
        <v>OK</v>
      </c>
      <c r="BV196" s="13">
        <f t="shared" si="8"/>
        <v>0</v>
      </c>
    </row>
    <row r="197" spans="1:74" s="9" customFormat="1" ht="67.5" hidden="1" x14ac:dyDescent="0.25">
      <c r="A197" s="2" t="s">
        <v>1570</v>
      </c>
      <c r="B197" s="2" t="s">
        <v>1063</v>
      </c>
      <c r="C197" s="2" t="s">
        <v>1051</v>
      </c>
      <c r="D197" s="12" t="s">
        <v>1064</v>
      </c>
      <c r="E197" s="2"/>
      <c r="F197" s="2" t="s">
        <v>72</v>
      </c>
      <c r="G197" s="2" t="s">
        <v>1685</v>
      </c>
      <c r="H197" s="2" t="s">
        <v>66</v>
      </c>
      <c r="I197" s="2" t="s">
        <v>1618</v>
      </c>
      <c r="J197" s="2" t="s">
        <v>1618</v>
      </c>
      <c r="K197" s="2" t="s">
        <v>67</v>
      </c>
      <c r="L197" s="22">
        <v>100000</v>
      </c>
      <c r="M197" s="22">
        <v>100000</v>
      </c>
      <c r="N197" s="2" t="s">
        <v>33</v>
      </c>
      <c r="O197" s="7">
        <v>0</v>
      </c>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v>100000</v>
      </c>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8">
        <v>45839</v>
      </c>
      <c r="BQ197" s="2"/>
      <c r="BR197" s="2" t="s">
        <v>1799</v>
      </c>
      <c r="BS197" s="8" t="s">
        <v>1757</v>
      </c>
      <c r="BT197" s="14">
        <f t="shared" si="9"/>
        <v>100000</v>
      </c>
      <c r="BU197" s="2" t="str">
        <f t="shared" ref="BU197:BU260" si="10">IF(M197=BT197,"OK","CORRIGIR")</f>
        <v>OK</v>
      </c>
      <c r="BV197" s="13">
        <f t="shared" ref="BV197:BV260" si="11">M197-BT197</f>
        <v>0</v>
      </c>
    </row>
    <row r="198" spans="1:74" s="9" customFormat="1" ht="45" hidden="1" x14ac:dyDescent="0.25">
      <c r="A198" s="2" t="s">
        <v>1499</v>
      </c>
      <c r="B198" s="2" t="s">
        <v>744</v>
      </c>
      <c r="C198" s="2" t="s">
        <v>681</v>
      </c>
      <c r="D198" s="12" t="s">
        <v>745</v>
      </c>
      <c r="E198" s="2"/>
      <c r="F198" s="2" t="s">
        <v>65</v>
      </c>
      <c r="G198" s="2" t="s">
        <v>1642</v>
      </c>
      <c r="H198" s="2" t="s">
        <v>66</v>
      </c>
      <c r="I198" s="2" t="s">
        <v>1618</v>
      </c>
      <c r="J198" s="2" t="s">
        <v>1618</v>
      </c>
      <c r="K198" s="2" t="s">
        <v>67</v>
      </c>
      <c r="L198" s="22">
        <v>18675</v>
      </c>
      <c r="M198" s="22">
        <v>18675</v>
      </c>
      <c r="N198" s="2" t="s">
        <v>14</v>
      </c>
      <c r="O198" s="7">
        <v>0</v>
      </c>
      <c r="P198" s="7"/>
      <c r="Q198" s="7"/>
      <c r="R198" s="7"/>
      <c r="S198" s="7"/>
      <c r="T198" s="7"/>
      <c r="U198" s="7"/>
      <c r="V198" s="7">
        <v>18675</v>
      </c>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8">
        <v>45730</v>
      </c>
      <c r="BQ198" s="2"/>
      <c r="BR198" s="2" t="s">
        <v>1800</v>
      </c>
      <c r="BS198" s="8" t="s">
        <v>1757</v>
      </c>
      <c r="BT198" s="14">
        <f t="shared" si="9"/>
        <v>18675</v>
      </c>
      <c r="BU198" s="2" t="str">
        <f t="shared" si="10"/>
        <v>OK</v>
      </c>
      <c r="BV198" s="13">
        <f t="shared" si="11"/>
        <v>0</v>
      </c>
    </row>
    <row r="199" spans="1:74" s="9" customFormat="1" ht="33.75" hidden="1" x14ac:dyDescent="0.25">
      <c r="A199" s="2" t="s">
        <v>1438</v>
      </c>
      <c r="B199" s="2" t="s">
        <v>738</v>
      </c>
      <c r="C199" s="2" t="s">
        <v>681</v>
      </c>
      <c r="D199" s="12" t="s">
        <v>739</v>
      </c>
      <c r="E199" s="2"/>
      <c r="F199" s="2" t="s">
        <v>72</v>
      </c>
      <c r="G199" s="2" t="s">
        <v>1642</v>
      </c>
      <c r="H199" s="2" t="s">
        <v>66</v>
      </c>
      <c r="I199" s="2" t="s">
        <v>5</v>
      </c>
      <c r="J199" s="2" t="s">
        <v>1618</v>
      </c>
      <c r="K199" s="2" t="s">
        <v>67</v>
      </c>
      <c r="L199" s="22">
        <v>276782.5</v>
      </c>
      <c r="M199" s="22">
        <v>276782.5</v>
      </c>
      <c r="N199" s="2" t="s">
        <v>14</v>
      </c>
      <c r="O199" s="7">
        <v>0</v>
      </c>
      <c r="P199" s="7"/>
      <c r="Q199" s="7"/>
      <c r="R199" s="7"/>
      <c r="S199" s="7"/>
      <c r="T199" s="7"/>
      <c r="U199" s="7"/>
      <c r="V199" s="7">
        <v>276782.5</v>
      </c>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8">
        <v>45777</v>
      </c>
      <c r="BQ199" s="2"/>
      <c r="BR199" s="2" t="s">
        <v>1799</v>
      </c>
      <c r="BS199" s="2"/>
      <c r="BT199" s="14">
        <f t="shared" si="9"/>
        <v>276782.5</v>
      </c>
      <c r="BU199" s="2" t="str">
        <f t="shared" si="10"/>
        <v>OK</v>
      </c>
      <c r="BV199" s="13">
        <f t="shared" si="11"/>
        <v>0</v>
      </c>
    </row>
    <row r="200" spans="1:74" s="9" customFormat="1" ht="56.25" hidden="1" x14ac:dyDescent="0.25">
      <c r="A200" s="2" t="s">
        <v>1483</v>
      </c>
      <c r="B200" s="2" t="s">
        <v>910</v>
      </c>
      <c r="C200" s="2" t="s">
        <v>681</v>
      </c>
      <c r="D200" s="12" t="s">
        <v>1827</v>
      </c>
      <c r="E200" s="2"/>
      <c r="F200" s="2" t="s">
        <v>72</v>
      </c>
      <c r="G200" s="2" t="s">
        <v>1642</v>
      </c>
      <c r="H200" s="2" t="s">
        <v>66</v>
      </c>
      <c r="I200" s="2" t="s">
        <v>1618</v>
      </c>
      <c r="J200" s="2" t="s">
        <v>1618</v>
      </c>
      <c r="K200" s="2" t="s">
        <v>67</v>
      </c>
      <c r="L200" s="22">
        <v>42430</v>
      </c>
      <c r="M200" s="22">
        <v>42430</v>
      </c>
      <c r="N200" s="2" t="s">
        <v>14</v>
      </c>
      <c r="O200" s="7"/>
      <c r="P200" s="7"/>
      <c r="Q200" s="7"/>
      <c r="R200" s="7"/>
      <c r="S200" s="7"/>
      <c r="T200" s="7"/>
      <c r="U200" s="7"/>
      <c r="V200" s="7">
        <v>42430</v>
      </c>
      <c r="W200" s="7">
        <v>0</v>
      </c>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8">
        <v>45777</v>
      </c>
      <c r="BQ200" s="2"/>
      <c r="BR200" s="2" t="s">
        <v>1798</v>
      </c>
      <c r="BS200" s="8" t="s">
        <v>1757</v>
      </c>
      <c r="BT200" s="14">
        <f t="shared" si="9"/>
        <v>42430</v>
      </c>
      <c r="BU200" s="2" t="str">
        <f t="shared" si="10"/>
        <v>OK</v>
      </c>
      <c r="BV200" s="13">
        <f t="shared" si="11"/>
        <v>0</v>
      </c>
    </row>
    <row r="201" spans="1:74" s="9" customFormat="1" ht="56.25" hidden="1" x14ac:dyDescent="0.25">
      <c r="A201" s="24" t="s">
        <v>1402</v>
      </c>
      <c r="B201" s="24" t="s">
        <v>1119</v>
      </c>
      <c r="C201" s="24" t="s">
        <v>715</v>
      </c>
      <c r="D201" s="69" t="s">
        <v>1625</v>
      </c>
      <c r="E201" s="2"/>
      <c r="F201" s="24" t="s">
        <v>66</v>
      </c>
      <c r="G201" s="24" t="s">
        <v>1642</v>
      </c>
      <c r="H201" s="24" t="s">
        <v>72</v>
      </c>
      <c r="I201" s="24" t="s">
        <v>1618</v>
      </c>
      <c r="J201" s="24" t="s">
        <v>1618</v>
      </c>
      <c r="K201" s="24" t="s">
        <v>67</v>
      </c>
      <c r="L201" s="70">
        <v>70000</v>
      </c>
      <c r="M201" s="70">
        <v>70000</v>
      </c>
      <c r="N201" s="24" t="s">
        <v>1807</v>
      </c>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v>70000</v>
      </c>
      <c r="BD201" s="7"/>
      <c r="BE201" s="7"/>
      <c r="BF201" s="7"/>
      <c r="BG201" s="7"/>
      <c r="BH201" s="7"/>
      <c r="BI201" s="7"/>
      <c r="BJ201" s="7"/>
      <c r="BK201" s="7"/>
      <c r="BL201" s="7"/>
      <c r="BM201" s="7"/>
      <c r="BN201" s="7"/>
      <c r="BO201" s="7"/>
      <c r="BP201" s="8">
        <v>45870</v>
      </c>
      <c r="BQ201" s="24"/>
      <c r="BR201" s="2" t="s">
        <v>1799</v>
      </c>
      <c r="BS201" s="72" t="s">
        <v>1744</v>
      </c>
      <c r="BT201" s="14">
        <f t="shared" si="9"/>
        <v>70000</v>
      </c>
      <c r="BU201" s="2" t="str">
        <f t="shared" si="10"/>
        <v>OK</v>
      </c>
      <c r="BV201" s="13">
        <f t="shared" si="11"/>
        <v>0</v>
      </c>
    </row>
    <row r="202" spans="1:74" s="9" customFormat="1" ht="64.5" customHeight="1" x14ac:dyDescent="0.25">
      <c r="A202" s="2" t="s">
        <v>1351</v>
      </c>
      <c r="B202" s="2" t="s">
        <v>436</v>
      </c>
      <c r="C202" s="2" t="s">
        <v>379</v>
      </c>
      <c r="D202" s="12" t="s">
        <v>437</v>
      </c>
      <c r="E202" s="2" t="s">
        <v>438</v>
      </c>
      <c r="F202" s="2" t="s">
        <v>72</v>
      </c>
      <c r="G202" s="2" t="s">
        <v>1668</v>
      </c>
      <c r="H202" s="2" t="s">
        <v>77</v>
      </c>
      <c r="I202" s="2" t="s">
        <v>1618</v>
      </c>
      <c r="J202" s="2" t="s">
        <v>1618</v>
      </c>
      <c r="K202" s="2" t="s">
        <v>384</v>
      </c>
      <c r="L202" s="22">
        <v>380000</v>
      </c>
      <c r="M202" s="22">
        <v>380000</v>
      </c>
      <c r="N202" s="2" t="s">
        <v>11</v>
      </c>
      <c r="O202" s="7"/>
      <c r="P202" s="7"/>
      <c r="Q202" s="7"/>
      <c r="R202" s="7"/>
      <c r="S202" s="7">
        <f>M202</f>
        <v>380000</v>
      </c>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2"/>
      <c r="BQ202" s="8">
        <v>45707</v>
      </c>
      <c r="BR202" s="8"/>
      <c r="BS202" s="2" t="s">
        <v>1747</v>
      </c>
      <c r="BT202" s="14">
        <f t="shared" si="9"/>
        <v>380000</v>
      </c>
      <c r="BU202" s="2" t="str">
        <f t="shared" si="10"/>
        <v>OK</v>
      </c>
      <c r="BV202" s="13">
        <f t="shared" si="11"/>
        <v>0</v>
      </c>
    </row>
    <row r="203" spans="1:74" s="9" customFormat="1" ht="78.75" hidden="1" x14ac:dyDescent="0.25">
      <c r="A203" s="2" t="s">
        <v>1482</v>
      </c>
      <c r="B203" s="2" t="s">
        <v>689</v>
      </c>
      <c r="C203" s="2" t="s">
        <v>681</v>
      </c>
      <c r="D203" s="12" t="s">
        <v>690</v>
      </c>
      <c r="E203" s="2"/>
      <c r="F203" s="2" t="s">
        <v>72</v>
      </c>
      <c r="G203" s="2" t="s">
        <v>1642</v>
      </c>
      <c r="H203" s="2" t="s">
        <v>66</v>
      </c>
      <c r="I203" s="2" t="s">
        <v>5</v>
      </c>
      <c r="J203" s="2" t="s">
        <v>1618</v>
      </c>
      <c r="K203" s="2" t="s">
        <v>67</v>
      </c>
      <c r="L203" s="22">
        <v>44834.2</v>
      </c>
      <c r="M203" s="22">
        <v>44834.2</v>
      </c>
      <c r="N203" s="2" t="s">
        <v>14</v>
      </c>
      <c r="O203" s="7">
        <v>0</v>
      </c>
      <c r="P203" s="7"/>
      <c r="Q203" s="7"/>
      <c r="R203" s="7"/>
      <c r="S203" s="7"/>
      <c r="T203" s="7"/>
      <c r="U203" s="7"/>
      <c r="V203" s="7">
        <v>44834.2</v>
      </c>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8">
        <v>45887</v>
      </c>
      <c r="BQ203" s="2"/>
      <c r="BR203" s="2" t="s">
        <v>1798</v>
      </c>
      <c r="BS203" s="8" t="s">
        <v>1747</v>
      </c>
      <c r="BT203" s="14">
        <f t="shared" si="9"/>
        <v>44834.2</v>
      </c>
      <c r="BU203" s="2" t="str">
        <f t="shared" si="10"/>
        <v>OK</v>
      </c>
      <c r="BV203" s="13">
        <f t="shared" si="11"/>
        <v>0</v>
      </c>
    </row>
    <row r="204" spans="1:74" s="9" customFormat="1" ht="67.5" hidden="1" x14ac:dyDescent="0.25">
      <c r="A204" s="2" t="s">
        <v>1497</v>
      </c>
      <c r="B204" s="2" t="s">
        <v>789</v>
      </c>
      <c r="C204" s="2" t="s">
        <v>681</v>
      </c>
      <c r="D204" s="12" t="s">
        <v>790</v>
      </c>
      <c r="E204" s="2"/>
      <c r="F204" s="2" t="s">
        <v>65</v>
      </c>
      <c r="G204" s="2" t="s">
        <v>1642</v>
      </c>
      <c r="H204" s="2" t="s">
        <v>66</v>
      </c>
      <c r="I204" s="2" t="s">
        <v>5</v>
      </c>
      <c r="J204" s="2" t="s">
        <v>1618</v>
      </c>
      <c r="K204" s="2" t="s">
        <v>67</v>
      </c>
      <c r="L204" s="22">
        <v>22450.55</v>
      </c>
      <c r="M204" s="22">
        <v>22450.55</v>
      </c>
      <c r="N204" s="2" t="s">
        <v>14</v>
      </c>
      <c r="O204" s="7">
        <v>0</v>
      </c>
      <c r="P204" s="7"/>
      <c r="Q204" s="7"/>
      <c r="R204" s="7"/>
      <c r="S204" s="7"/>
      <c r="T204" s="7"/>
      <c r="U204" s="7"/>
      <c r="V204" s="7">
        <v>22450.55</v>
      </c>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v>0</v>
      </c>
      <c r="BP204" s="8">
        <v>45978</v>
      </c>
      <c r="BQ204" s="2"/>
      <c r="BR204" s="2" t="s">
        <v>1798</v>
      </c>
      <c r="BS204" s="2" t="s">
        <v>1703</v>
      </c>
      <c r="BT204" s="14">
        <f t="shared" si="9"/>
        <v>22450.55</v>
      </c>
      <c r="BU204" s="2" t="str">
        <f t="shared" si="10"/>
        <v>OK</v>
      </c>
      <c r="BV204" s="13">
        <f t="shared" si="11"/>
        <v>0</v>
      </c>
    </row>
    <row r="205" spans="1:74" s="9" customFormat="1" ht="45" hidden="1" x14ac:dyDescent="0.25">
      <c r="A205" s="2" t="s">
        <v>1530</v>
      </c>
      <c r="B205" s="2" t="s">
        <v>999</v>
      </c>
      <c r="C205" s="2" t="s">
        <v>681</v>
      </c>
      <c r="D205" s="12" t="s">
        <v>1828</v>
      </c>
      <c r="E205" s="2"/>
      <c r="F205" s="2" t="s">
        <v>72</v>
      </c>
      <c r="G205" s="2" t="s">
        <v>1642</v>
      </c>
      <c r="H205" s="2" t="s">
        <v>66</v>
      </c>
      <c r="I205" s="2" t="s">
        <v>1618</v>
      </c>
      <c r="J205" s="2" t="s">
        <v>1618</v>
      </c>
      <c r="K205" s="2" t="s">
        <v>67</v>
      </c>
      <c r="L205" s="22">
        <v>48778.3</v>
      </c>
      <c r="M205" s="22">
        <v>4064.86</v>
      </c>
      <c r="N205" s="2" t="s">
        <v>14</v>
      </c>
      <c r="O205" s="7"/>
      <c r="P205" s="7"/>
      <c r="Q205" s="7"/>
      <c r="R205" s="7"/>
      <c r="S205" s="7"/>
      <c r="T205" s="7"/>
      <c r="U205" s="7">
        <v>0</v>
      </c>
      <c r="V205" s="7">
        <v>4064.86</v>
      </c>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8">
        <v>45992</v>
      </c>
      <c r="BQ205" s="2"/>
      <c r="BR205" s="2" t="s">
        <v>1798</v>
      </c>
      <c r="BS205" s="2"/>
      <c r="BT205" s="14">
        <f t="shared" ref="BT205:BT268" si="12">SUM(O205:BO205)</f>
        <v>4064.86</v>
      </c>
      <c r="BU205" s="2" t="str">
        <f t="shared" si="10"/>
        <v>OK</v>
      </c>
      <c r="BV205" s="13">
        <f t="shared" si="11"/>
        <v>0</v>
      </c>
    </row>
    <row r="206" spans="1:74" s="9" customFormat="1" ht="33.75" hidden="1" x14ac:dyDescent="0.25">
      <c r="A206" s="2" t="s">
        <v>1459</v>
      </c>
      <c r="B206" s="2" t="s">
        <v>988</v>
      </c>
      <c r="C206" s="2" t="s">
        <v>681</v>
      </c>
      <c r="D206" s="12" t="s">
        <v>989</v>
      </c>
      <c r="E206" s="2"/>
      <c r="F206" s="2" t="s">
        <v>72</v>
      </c>
      <c r="G206" s="2" t="s">
        <v>1680</v>
      </c>
      <c r="H206" s="2" t="s">
        <v>66</v>
      </c>
      <c r="I206" s="2" t="s">
        <v>1618</v>
      </c>
      <c r="J206" s="2" t="s">
        <v>1618</v>
      </c>
      <c r="K206" s="2" t="s">
        <v>67</v>
      </c>
      <c r="L206" s="22">
        <v>105439.99</v>
      </c>
      <c r="M206" s="22">
        <v>105439.99</v>
      </c>
      <c r="N206" s="2" t="s">
        <v>14</v>
      </c>
      <c r="O206" s="7"/>
      <c r="P206" s="7"/>
      <c r="Q206" s="7"/>
      <c r="R206" s="7"/>
      <c r="S206" s="7"/>
      <c r="T206" s="7"/>
      <c r="U206" s="7"/>
      <c r="V206" s="7">
        <v>105439.99</v>
      </c>
      <c r="W206" s="7">
        <v>0</v>
      </c>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8">
        <v>45900</v>
      </c>
      <c r="BQ206" s="2"/>
      <c r="BR206" s="2" t="s">
        <v>1799</v>
      </c>
      <c r="BS206" s="2" t="s">
        <v>1703</v>
      </c>
      <c r="BT206" s="14">
        <f t="shared" si="12"/>
        <v>105439.99</v>
      </c>
      <c r="BU206" s="2" t="str">
        <f t="shared" si="10"/>
        <v>OK</v>
      </c>
      <c r="BV206" s="13">
        <f t="shared" si="11"/>
        <v>0</v>
      </c>
    </row>
    <row r="207" spans="1:74" s="9" customFormat="1" ht="90" hidden="1" x14ac:dyDescent="0.25">
      <c r="A207" s="2" t="s">
        <v>1606</v>
      </c>
      <c r="B207" s="2" t="s">
        <v>662</v>
      </c>
      <c r="C207" s="2" t="s">
        <v>591</v>
      </c>
      <c r="D207" s="12" t="s">
        <v>663</v>
      </c>
      <c r="E207" s="2"/>
      <c r="F207" s="2" t="s">
        <v>65</v>
      </c>
      <c r="G207" s="2" t="s">
        <v>1674</v>
      </c>
      <c r="H207" s="2" t="s">
        <v>66</v>
      </c>
      <c r="I207" s="2" t="s">
        <v>5</v>
      </c>
      <c r="J207" s="2" t="s">
        <v>1618</v>
      </c>
      <c r="K207" s="2" t="s">
        <v>67</v>
      </c>
      <c r="L207" s="22">
        <v>17349.86</v>
      </c>
      <c r="M207" s="22">
        <v>17349.86</v>
      </c>
      <c r="N207" s="2" t="s">
        <v>41</v>
      </c>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v>17349.86</v>
      </c>
      <c r="AX207" s="7"/>
      <c r="AY207" s="7"/>
      <c r="AZ207" s="7"/>
      <c r="BA207" s="7"/>
      <c r="BB207" s="7"/>
      <c r="BC207" s="7"/>
      <c r="BD207" s="7"/>
      <c r="BE207" s="7"/>
      <c r="BF207" s="7"/>
      <c r="BG207" s="7"/>
      <c r="BH207" s="7"/>
      <c r="BI207" s="7"/>
      <c r="BJ207" s="7"/>
      <c r="BK207" s="7"/>
      <c r="BL207" s="7"/>
      <c r="BM207" s="7"/>
      <c r="BN207" s="7"/>
      <c r="BO207" s="7"/>
      <c r="BP207" s="8">
        <v>45723</v>
      </c>
      <c r="BQ207" s="2"/>
      <c r="BR207" s="2" t="s">
        <v>1800</v>
      </c>
      <c r="BS207" s="2" t="s">
        <v>1703</v>
      </c>
      <c r="BT207" s="14">
        <f t="shared" si="12"/>
        <v>17349.86</v>
      </c>
      <c r="BU207" s="2" t="str">
        <f t="shared" si="10"/>
        <v>OK</v>
      </c>
      <c r="BV207" s="13">
        <f t="shared" si="11"/>
        <v>0</v>
      </c>
    </row>
    <row r="208" spans="1:74" s="9" customFormat="1" ht="45" hidden="1" x14ac:dyDescent="0.25">
      <c r="A208" s="2" t="s">
        <v>1347</v>
      </c>
      <c r="B208" s="2" t="s">
        <v>586</v>
      </c>
      <c r="C208" s="2" t="s">
        <v>562</v>
      </c>
      <c r="D208" s="12" t="s">
        <v>587</v>
      </c>
      <c r="E208" s="2"/>
      <c r="F208" s="2" t="s">
        <v>65</v>
      </c>
      <c r="G208" s="2" t="s">
        <v>1674</v>
      </c>
      <c r="H208" s="2" t="s">
        <v>66</v>
      </c>
      <c r="I208" s="2" t="s">
        <v>319</v>
      </c>
      <c r="J208" s="2" t="s">
        <v>1618</v>
      </c>
      <c r="K208" s="2" t="s">
        <v>67</v>
      </c>
      <c r="L208" s="22">
        <v>15709.78</v>
      </c>
      <c r="M208" s="22">
        <v>15709.78</v>
      </c>
      <c r="N208" s="2" t="s">
        <v>565</v>
      </c>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v>15709.78</v>
      </c>
      <c r="BA208" s="7"/>
      <c r="BB208" s="7"/>
      <c r="BC208" s="7"/>
      <c r="BD208" s="7"/>
      <c r="BE208" s="7"/>
      <c r="BF208" s="7"/>
      <c r="BG208" s="7"/>
      <c r="BH208" s="7"/>
      <c r="BI208" s="7"/>
      <c r="BJ208" s="7"/>
      <c r="BK208" s="7"/>
      <c r="BL208" s="7"/>
      <c r="BM208" s="7"/>
      <c r="BN208" s="7"/>
      <c r="BO208" s="7"/>
      <c r="BP208" s="8">
        <v>45726</v>
      </c>
      <c r="BQ208" s="2"/>
      <c r="BR208" s="2" t="s">
        <v>1798</v>
      </c>
      <c r="BS208" s="2" t="s">
        <v>1703</v>
      </c>
      <c r="BT208" s="14">
        <f t="shared" si="12"/>
        <v>15709.78</v>
      </c>
      <c r="BU208" s="2" t="str">
        <f t="shared" si="10"/>
        <v>OK</v>
      </c>
      <c r="BV208" s="13">
        <f t="shared" si="11"/>
        <v>0</v>
      </c>
    </row>
    <row r="209" spans="1:74" s="9" customFormat="1" ht="90" hidden="1" x14ac:dyDescent="0.25">
      <c r="A209" s="2" t="s">
        <v>1244</v>
      </c>
      <c r="B209" s="2" t="s">
        <v>364</v>
      </c>
      <c r="C209" s="2" t="s">
        <v>350</v>
      </c>
      <c r="D209" s="12" t="s">
        <v>365</v>
      </c>
      <c r="E209" s="2"/>
      <c r="F209" s="2" t="s">
        <v>65</v>
      </c>
      <c r="G209" s="2" t="s">
        <v>1674</v>
      </c>
      <c r="H209" s="2" t="s">
        <v>66</v>
      </c>
      <c r="I209" s="2" t="s">
        <v>5</v>
      </c>
      <c r="J209" s="2">
        <v>48</v>
      </c>
      <c r="K209" s="2" t="s">
        <v>67</v>
      </c>
      <c r="L209" s="22">
        <v>24000</v>
      </c>
      <c r="M209" s="22">
        <v>24000</v>
      </c>
      <c r="N209" s="2" t="s">
        <v>44</v>
      </c>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v>24000</v>
      </c>
      <c r="BA209" s="7"/>
      <c r="BB209" s="7"/>
      <c r="BC209" s="7"/>
      <c r="BD209" s="7"/>
      <c r="BE209" s="7"/>
      <c r="BF209" s="7"/>
      <c r="BG209" s="7"/>
      <c r="BH209" s="7"/>
      <c r="BI209" s="7"/>
      <c r="BJ209" s="7"/>
      <c r="BK209" s="7"/>
      <c r="BL209" s="7"/>
      <c r="BM209" s="7"/>
      <c r="BN209" s="7"/>
      <c r="BO209" s="7"/>
      <c r="BP209" s="8">
        <v>45810</v>
      </c>
      <c r="BQ209" s="2"/>
      <c r="BR209" s="2" t="s">
        <v>1800</v>
      </c>
      <c r="BS209" s="2" t="s">
        <v>1703</v>
      </c>
      <c r="BT209" s="14">
        <f t="shared" si="12"/>
        <v>24000</v>
      </c>
      <c r="BU209" s="2" t="str">
        <f t="shared" si="10"/>
        <v>OK</v>
      </c>
      <c r="BV209" s="13">
        <f t="shared" si="11"/>
        <v>0</v>
      </c>
    </row>
    <row r="210" spans="1:74" s="9" customFormat="1" ht="90" hidden="1" x14ac:dyDescent="0.25">
      <c r="A210" s="2" t="s">
        <v>1369</v>
      </c>
      <c r="B210" s="2" t="s">
        <v>642</v>
      </c>
      <c r="C210" s="2" t="s">
        <v>643</v>
      </c>
      <c r="D210" s="12" t="s">
        <v>644</v>
      </c>
      <c r="E210" s="2"/>
      <c r="F210" s="2" t="s">
        <v>72</v>
      </c>
      <c r="G210" s="2" t="s">
        <v>1674</v>
      </c>
      <c r="H210" s="2" t="s">
        <v>66</v>
      </c>
      <c r="I210" s="2" t="s">
        <v>5</v>
      </c>
      <c r="J210" s="2" t="s">
        <v>1618</v>
      </c>
      <c r="K210" s="2" t="s">
        <v>67</v>
      </c>
      <c r="L210" s="22">
        <v>95289.02</v>
      </c>
      <c r="M210" s="22">
        <v>95289.02</v>
      </c>
      <c r="N210" s="2" t="s">
        <v>20</v>
      </c>
      <c r="O210" s="7">
        <v>0</v>
      </c>
      <c r="P210" s="7"/>
      <c r="Q210" s="7"/>
      <c r="R210" s="7"/>
      <c r="S210" s="7"/>
      <c r="T210" s="7"/>
      <c r="U210" s="7"/>
      <c r="V210" s="7"/>
      <c r="W210" s="7"/>
      <c r="X210" s="7"/>
      <c r="Y210" s="7"/>
      <c r="Z210" s="7"/>
      <c r="AA210" s="7"/>
      <c r="AB210" s="7">
        <v>95289.02</v>
      </c>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8">
        <v>45810</v>
      </c>
      <c r="BQ210" s="2"/>
      <c r="BR210" s="2" t="s">
        <v>1801</v>
      </c>
      <c r="BS210" s="2" t="s">
        <v>1703</v>
      </c>
      <c r="BT210" s="14">
        <f t="shared" si="12"/>
        <v>95289.02</v>
      </c>
      <c r="BU210" s="2" t="str">
        <f t="shared" si="10"/>
        <v>OK</v>
      </c>
      <c r="BV210" s="13">
        <f t="shared" si="11"/>
        <v>0</v>
      </c>
    </row>
    <row r="211" spans="1:74" s="9" customFormat="1" ht="78.75" hidden="1" x14ac:dyDescent="0.25">
      <c r="A211" s="2" t="s">
        <v>1554</v>
      </c>
      <c r="B211" s="2" t="s">
        <v>328</v>
      </c>
      <c r="C211" s="2" t="s">
        <v>274</v>
      </c>
      <c r="D211" s="12" t="s">
        <v>329</v>
      </c>
      <c r="E211" s="2"/>
      <c r="F211" s="2" t="s">
        <v>72</v>
      </c>
      <c r="G211" s="2" t="s">
        <v>1674</v>
      </c>
      <c r="H211" s="2" t="s">
        <v>66</v>
      </c>
      <c r="I211" s="2" t="s">
        <v>5</v>
      </c>
      <c r="J211" s="2" t="s">
        <v>1618</v>
      </c>
      <c r="K211" s="2" t="s">
        <v>67</v>
      </c>
      <c r="L211" s="22">
        <v>146028.35</v>
      </c>
      <c r="M211" s="22">
        <v>146028.35</v>
      </c>
      <c r="N211" s="2" t="s">
        <v>42</v>
      </c>
      <c r="O211" s="7">
        <v>0</v>
      </c>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v>146028.35</v>
      </c>
      <c r="AY211" s="7"/>
      <c r="AZ211" s="7"/>
      <c r="BA211" s="7"/>
      <c r="BB211" s="7"/>
      <c r="BC211" s="7"/>
      <c r="BD211" s="7"/>
      <c r="BE211" s="7"/>
      <c r="BF211" s="7"/>
      <c r="BG211" s="7"/>
      <c r="BH211" s="7"/>
      <c r="BI211" s="7"/>
      <c r="BJ211" s="7"/>
      <c r="BK211" s="7"/>
      <c r="BL211" s="7"/>
      <c r="BM211" s="7"/>
      <c r="BN211" s="7"/>
      <c r="BO211" s="7"/>
      <c r="BP211" s="8">
        <v>45839</v>
      </c>
      <c r="BQ211" s="2"/>
      <c r="BR211" s="2" t="s">
        <v>1801</v>
      </c>
      <c r="BS211" s="2"/>
      <c r="BT211" s="14">
        <f t="shared" si="12"/>
        <v>146028.35</v>
      </c>
      <c r="BU211" s="2" t="str">
        <f t="shared" si="10"/>
        <v>OK</v>
      </c>
      <c r="BV211" s="13">
        <f t="shared" si="11"/>
        <v>0</v>
      </c>
    </row>
    <row r="212" spans="1:74" s="9" customFormat="1" ht="45" hidden="1" x14ac:dyDescent="0.25">
      <c r="A212" s="2" t="s">
        <v>1335</v>
      </c>
      <c r="B212" s="2" t="s">
        <v>561</v>
      </c>
      <c r="C212" s="2" t="s">
        <v>562</v>
      </c>
      <c r="D212" s="12" t="s">
        <v>563</v>
      </c>
      <c r="E212" s="2" t="s">
        <v>564</v>
      </c>
      <c r="F212" s="2" t="s">
        <v>65</v>
      </c>
      <c r="G212" s="2" t="s">
        <v>1674</v>
      </c>
      <c r="H212" s="2" t="s">
        <v>66</v>
      </c>
      <c r="I212" s="2" t="s">
        <v>319</v>
      </c>
      <c r="J212" s="2">
        <v>6</v>
      </c>
      <c r="K212" s="2" t="s">
        <v>67</v>
      </c>
      <c r="L212" s="22">
        <v>2813.61</v>
      </c>
      <c r="M212" s="22">
        <v>2813.61</v>
      </c>
      <c r="N212" s="2" t="s">
        <v>565</v>
      </c>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v>2813.61</v>
      </c>
      <c r="BA212" s="7"/>
      <c r="BB212" s="7"/>
      <c r="BC212" s="7"/>
      <c r="BD212" s="7"/>
      <c r="BE212" s="7"/>
      <c r="BF212" s="7"/>
      <c r="BG212" s="7"/>
      <c r="BH212" s="7"/>
      <c r="BI212" s="7"/>
      <c r="BJ212" s="7"/>
      <c r="BK212" s="7"/>
      <c r="BL212" s="7"/>
      <c r="BM212" s="7"/>
      <c r="BN212" s="7"/>
      <c r="BO212" s="7"/>
      <c r="BP212" s="8">
        <v>45964</v>
      </c>
      <c r="BQ212" s="2"/>
      <c r="BR212" s="2" t="s">
        <v>1800</v>
      </c>
      <c r="BS212" s="2"/>
      <c r="BT212" s="14">
        <f t="shared" si="12"/>
        <v>2813.61</v>
      </c>
      <c r="BU212" s="2" t="str">
        <f t="shared" si="10"/>
        <v>OK</v>
      </c>
      <c r="BV212" s="13">
        <f t="shared" si="11"/>
        <v>0</v>
      </c>
    </row>
    <row r="213" spans="1:74" s="9" customFormat="1" ht="45" hidden="1" x14ac:dyDescent="0.25">
      <c r="A213" s="2" t="s">
        <v>1341</v>
      </c>
      <c r="B213" s="2" t="s">
        <v>575</v>
      </c>
      <c r="C213" s="2" t="s">
        <v>562</v>
      </c>
      <c r="D213" s="12" t="s">
        <v>576</v>
      </c>
      <c r="E213" s="2" t="s">
        <v>577</v>
      </c>
      <c r="F213" s="2" t="s">
        <v>65</v>
      </c>
      <c r="G213" s="2" t="s">
        <v>1674</v>
      </c>
      <c r="H213" s="2" t="s">
        <v>66</v>
      </c>
      <c r="I213" s="2" t="s">
        <v>319</v>
      </c>
      <c r="J213" s="2" t="s">
        <v>1618</v>
      </c>
      <c r="K213" s="2" t="s">
        <v>67</v>
      </c>
      <c r="L213" s="22">
        <v>23329.47</v>
      </c>
      <c r="M213" s="22">
        <v>23329.47</v>
      </c>
      <c r="N213" s="2" t="s">
        <v>565</v>
      </c>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v>23329.47</v>
      </c>
      <c r="BA213" s="7"/>
      <c r="BB213" s="7"/>
      <c r="BC213" s="7"/>
      <c r="BD213" s="7"/>
      <c r="BE213" s="7"/>
      <c r="BF213" s="7"/>
      <c r="BG213" s="7"/>
      <c r="BH213" s="7"/>
      <c r="BI213" s="7"/>
      <c r="BJ213" s="7"/>
      <c r="BK213" s="7"/>
      <c r="BL213" s="7"/>
      <c r="BM213" s="7"/>
      <c r="BN213" s="7"/>
      <c r="BO213" s="7"/>
      <c r="BP213" s="8">
        <v>45964</v>
      </c>
      <c r="BQ213" s="8">
        <v>45673</v>
      </c>
      <c r="BR213" s="2" t="s">
        <v>1798</v>
      </c>
      <c r="BS213" s="2"/>
      <c r="BT213" s="14">
        <f t="shared" si="12"/>
        <v>23329.47</v>
      </c>
      <c r="BU213" s="2" t="str">
        <f t="shared" si="10"/>
        <v>OK</v>
      </c>
      <c r="BV213" s="13">
        <f t="shared" si="11"/>
        <v>0</v>
      </c>
    </row>
    <row r="214" spans="1:74" s="9" customFormat="1" ht="33.75" hidden="1" x14ac:dyDescent="0.25">
      <c r="A214" s="38" t="s">
        <v>1213</v>
      </c>
      <c r="B214" s="2" t="s">
        <v>325</v>
      </c>
      <c r="C214" s="38" t="s">
        <v>274</v>
      </c>
      <c r="D214" s="47" t="s">
        <v>326</v>
      </c>
      <c r="E214" s="2"/>
      <c r="F214" s="38" t="s">
        <v>72</v>
      </c>
      <c r="G214" s="38" t="s">
        <v>1659</v>
      </c>
      <c r="H214" s="38" t="s">
        <v>66</v>
      </c>
      <c r="I214" s="38" t="s">
        <v>327</v>
      </c>
      <c r="J214" s="49">
        <v>3000</v>
      </c>
      <c r="K214" s="38" t="s">
        <v>67</v>
      </c>
      <c r="L214" s="48">
        <v>4225470</v>
      </c>
      <c r="M214" s="48">
        <v>4225470</v>
      </c>
      <c r="N214" s="38" t="s">
        <v>26</v>
      </c>
      <c r="O214" s="7">
        <v>0</v>
      </c>
      <c r="P214" s="7"/>
      <c r="Q214" s="7"/>
      <c r="R214" s="7"/>
      <c r="S214" s="7"/>
      <c r="T214" s="7"/>
      <c r="U214" s="7"/>
      <c r="V214" s="7"/>
      <c r="W214" s="7"/>
      <c r="X214" s="7"/>
      <c r="Y214" s="7"/>
      <c r="Z214" s="7"/>
      <c r="AA214" s="7"/>
      <c r="AB214" s="7"/>
      <c r="AC214" s="7"/>
      <c r="AD214" s="7"/>
      <c r="AE214" s="7"/>
      <c r="AF214" s="7"/>
      <c r="AG214" s="7"/>
      <c r="AH214" s="7">
        <v>4225470</v>
      </c>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46">
        <v>45626</v>
      </c>
      <c r="BQ214" s="2"/>
      <c r="BR214" s="38" t="s">
        <v>1799</v>
      </c>
      <c r="BS214" s="2"/>
      <c r="BT214" s="14">
        <f t="shared" si="12"/>
        <v>4225470</v>
      </c>
      <c r="BU214" s="2" t="str">
        <f t="shared" si="10"/>
        <v>OK</v>
      </c>
      <c r="BV214" s="13">
        <f t="shared" si="11"/>
        <v>0</v>
      </c>
    </row>
    <row r="215" spans="1:74" s="9" customFormat="1" ht="90" hidden="1" x14ac:dyDescent="0.25">
      <c r="A215" s="2" t="s">
        <v>1207</v>
      </c>
      <c r="B215" s="2" t="s">
        <v>271</v>
      </c>
      <c r="C215" s="2" t="s">
        <v>70</v>
      </c>
      <c r="D215" s="12" t="s">
        <v>272</v>
      </c>
      <c r="E215" s="2"/>
      <c r="F215" s="2" t="s">
        <v>1691</v>
      </c>
      <c r="G215" s="2" t="s">
        <v>1659</v>
      </c>
      <c r="H215" s="2" t="s">
        <v>66</v>
      </c>
      <c r="I215" s="2" t="s">
        <v>5</v>
      </c>
      <c r="J215" s="23" t="s">
        <v>1618</v>
      </c>
      <c r="K215" s="2" t="s">
        <v>67</v>
      </c>
      <c r="L215" s="22">
        <v>71792838</v>
      </c>
      <c r="M215" s="22">
        <f>71792838-47006802.85</f>
        <v>24786035.149999999</v>
      </c>
      <c r="N215" s="2" t="s">
        <v>41</v>
      </c>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f>71792838-47006802.85</f>
        <v>24786035.149999999</v>
      </c>
      <c r="AX215" s="7"/>
      <c r="AY215" s="7"/>
      <c r="AZ215" s="7"/>
      <c r="BA215" s="7"/>
      <c r="BB215" s="7"/>
      <c r="BC215" s="7"/>
      <c r="BD215" s="7"/>
      <c r="BE215" s="7"/>
      <c r="BF215" s="7"/>
      <c r="BG215" s="7"/>
      <c r="BH215" s="7"/>
      <c r="BI215" s="7"/>
      <c r="BJ215" s="7"/>
      <c r="BK215" s="7"/>
      <c r="BL215" s="7"/>
      <c r="BM215" s="7"/>
      <c r="BN215" s="7"/>
      <c r="BO215" s="7"/>
      <c r="BP215" s="8">
        <v>45689</v>
      </c>
      <c r="BQ215" s="2"/>
      <c r="BR215" s="2" t="s">
        <v>1799</v>
      </c>
      <c r="BS215" s="2" t="s">
        <v>1732</v>
      </c>
      <c r="BT215" s="14">
        <f t="shared" si="12"/>
        <v>24786035.149999999</v>
      </c>
      <c r="BU215" s="2" t="str">
        <f t="shared" si="10"/>
        <v>OK</v>
      </c>
      <c r="BV215" s="13">
        <f t="shared" si="11"/>
        <v>0</v>
      </c>
    </row>
    <row r="216" spans="1:74" s="9" customFormat="1" ht="101.25" hidden="1" x14ac:dyDescent="0.25">
      <c r="A216" s="38" t="s">
        <v>1225</v>
      </c>
      <c r="B216" s="2" t="s">
        <v>312</v>
      </c>
      <c r="C216" s="38" t="s">
        <v>274</v>
      </c>
      <c r="D216" s="47" t="s">
        <v>313</v>
      </c>
      <c r="E216" s="2"/>
      <c r="F216" s="38" t="s">
        <v>72</v>
      </c>
      <c r="G216" s="38" t="s">
        <v>1659</v>
      </c>
      <c r="H216" s="38" t="s">
        <v>66</v>
      </c>
      <c r="I216" s="38" t="s">
        <v>5</v>
      </c>
      <c r="J216" s="38" t="s">
        <v>1618</v>
      </c>
      <c r="K216" s="38" t="s">
        <v>67</v>
      </c>
      <c r="L216" s="48">
        <v>345698.08</v>
      </c>
      <c r="M216" s="48">
        <v>345698.08</v>
      </c>
      <c r="N216" s="38" t="s">
        <v>282</v>
      </c>
      <c r="O216" s="7">
        <v>0</v>
      </c>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v>345698.08</v>
      </c>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46">
        <v>45689</v>
      </c>
      <c r="BQ216" s="8">
        <v>46010</v>
      </c>
      <c r="BR216" s="38" t="s">
        <v>1801</v>
      </c>
      <c r="BS216" s="2"/>
      <c r="BT216" s="14">
        <f t="shared" si="12"/>
        <v>345698.08</v>
      </c>
      <c r="BU216" s="2" t="str">
        <f t="shared" si="10"/>
        <v>OK</v>
      </c>
      <c r="BV216" s="13">
        <f t="shared" si="11"/>
        <v>0</v>
      </c>
    </row>
    <row r="217" spans="1:74" s="9" customFormat="1" ht="67.5" hidden="1" x14ac:dyDescent="0.25">
      <c r="A217" s="38" t="s">
        <v>1208</v>
      </c>
      <c r="B217" s="2" t="s">
        <v>295</v>
      </c>
      <c r="C217" s="38" t="s">
        <v>274</v>
      </c>
      <c r="D217" s="47" t="s">
        <v>296</v>
      </c>
      <c r="E217" s="2"/>
      <c r="F217" s="38" t="s">
        <v>72</v>
      </c>
      <c r="G217" s="38" t="s">
        <v>1659</v>
      </c>
      <c r="H217" s="38" t="s">
        <v>66</v>
      </c>
      <c r="I217" s="38" t="s">
        <v>5</v>
      </c>
      <c r="J217" s="38" t="s">
        <v>1618</v>
      </c>
      <c r="K217" s="38" t="s">
        <v>67</v>
      </c>
      <c r="L217" s="48">
        <v>19829953.850000001</v>
      </c>
      <c r="M217" s="48">
        <v>19829953.850000001</v>
      </c>
      <c r="N217" s="38" t="s">
        <v>282</v>
      </c>
      <c r="O217" s="7">
        <v>0</v>
      </c>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v>19829953.850000001</v>
      </c>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46">
        <v>45698</v>
      </c>
      <c r="BQ217" s="2"/>
      <c r="BR217" s="38" t="s">
        <v>1799</v>
      </c>
      <c r="BS217" s="8" t="s">
        <v>1744</v>
      </c>
      <c r="BT217" s="14">
        <f t="shared" si="12"/>
        <v>19829953.850000001</v>
      </c>
      <c r="BU217" s="2" t="str">
        <f t="shared" si="10"/>
        <v>OK</v>
      </c>
      <c r="BV217" s="13">
        <f t="shared" si="11"/>
        <v>0</v>
      </c>
    </row>
    <row r="218" spans="1:74" s="9" customFormat="1" ht="101.25" hidden="1" x14ac:dyDescent="0.25">
      <c r="A218" s="2" t="s">
        <v>1245</v>
      </c>
      <c r="B218" s="2" t="s">
        <v>366</v>
      </c>
      <c r="C218" s="2" t="s">
        <v>350</v>
      </c>
      <c r="D218" s="12" t="s">
        <v>367</v>
      </c>
      <c r="E218" s="2"/>
      <c r="F218" s="2" t="s">
        <v>72</v>
      </c>
      <c r="G218" s="2" t="s">
        <v>1659</v>
      </c>
      <c r="H218" s="2" t="s">
        <v>66</v>
      </c>
      <c r="I218" s="2" t="s">
        <v>5</v>
      </c>
      <c r="J218" s="2">
        <v>700</v>
      </c>
      <c r="K218" s="2" t="s">
        <v>67</v>
      </c>
      <c r="L218" s="22">
        <v>55000</v>
      </c>
      <c r="M218" s="22">
        <v>55000</v>
      </c>
      <c r="N218" s="2" t="s">
        <v>32</v>
      </c>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v>55000</v>
      </c>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8">
        <v>45811</v>
      </c>
      <c r="BQ218" s="2"/>
      <c r="BR218" s="2" t="s">
        <v>1798</v>
      </c>
      <c r="BS218" s="2" t="s">
        <v>1745</v>
      </c>
      <c r="BT218" s="14">
        <f t="shared" si="12"/>
        <v>55000</v>
      </c>
      <c r="BU218" s="2" t="str">
        <f t="shared" si="10"/>
        <v>OK</v>
      </c>
      <c r="BV218" s="13">
        <f t="shared" si="11"/>
        <v>0</v>
      </c>
    </row>
    <row r="219" spans="1:74" s="9" customFormat="1" ht="90" hidden="1" x14ac:dyDescent="0.25">
      <c r="A219" s="2" t="s">
        <v>1376</v>
      </c>
      <c r="B219" s="2" t="s">
        <v>664</v>
      </c>
      <c r="C219" s="2" t="s">
        <v>591</v>
      </c>
      <c r="D219" s="12" t="s">
        <v>665</v>
      </c>
      <c r="E219" s="2"/>
      <c r="F219" s="2" t="s">
        <v>72</v>
      </c>
      <c r="G219" s="2" t="s">
        <v>1659</v>
      </c>
      <c r="H219" s="2" t="s">
        <v>66</v>
      </c>
      <c r="I219" s="2" t="s">
        <v>5</v>
      </c>
      <c r="J219" s="2" t="s">
        <v>1618</v>
      </c>
      <c r="K219" s="2" t="s">
        <v>67</v>
      </c>
      <c r="L219" s="22">
        <v>58548175.960000001</v>
      </c>
      <c r="M219" s="22">
        <v>41700000</v>
      </c>
      <c r="N219" s="2" t="s">
        <v>41</v>
      </c>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v>41700000</v>
      </c>
      <c r="AX219" s="7"/>
      <c r="AY219" s="7"/>
      <c r="AZ219" s="7"/>
      <c r="BA219" s="7"/>
      <c r="BB219" s="7"/>
      <c r="BC219" s="7"/>
      <c r="BD219" s="7"/>
      <c r="BE219" s="7"/>
      <c r="BF219" s="7"/>
      <c r="BG219" s="7"/>
      <c r="BH219" s="7"/>
      <c r="BI219" s="7"/>
      <c r="BJ219" s="7"/>
      <c r="BK219" s="7"/>
      <c r="BL219" s="7"/>
      <c r="BM219" s="7"/>
      <c r="BN219" s="7"/>
      <c r="BO219" s="7"/>
      <c r="BP219" s="8">
        <v>45869</v>
      </c>
      <c r="BQ219" s="2"/>
      <c r="BR219" s="2" t="s">
        <v>1801</v>
      </c>
      <c r="BS219" s="2"/>
      <c r="BT219" s="14">
        <f t="shared" si="12"/>
        <v>41700000</v>
      </c>
      <c r="BU219" s="2" t="str">
        <f t="shared" si="10"/>
        <v>OK</v>
      </c>
      <c r="BV219" s="13">
        <f t="shared" si="11"/>
        <v>0</v>
      </c>
    </row>
    <row r="220" spans="1:74" s="9" customFormat="1" ht="90" hidden="1" x14ac:dyDescent="0.25">
      <c r="A220" s="2" t="s">
        <v>1230</v>
      </c>
      <c r="B220" s="2" t="s">
        <v>336</v>
      </c>
      <c r="C220" s="2" t="s">
        <v>337</v>
      </c>
      <c r="D220" s="12" t="s">
        <v>338</v>
      </c>
      <c r="E220" s="2"/>
      <c r="F220" s="2" t="s">
        <v>72</v>
      </c>
      <c r="G220" s="2" t="s">
        <v>1659</v>
      </c>
      <c r="H220" s="2" t="s">
        <v>66</v>
      </c>
      <c r="I220" s="2" t="s">
        <v>5</v>
      </c>
      <c r="J220" s="2" t="s">
        <v>1618</v>
      </c>
      <c r="K220" s="2" t="s">
        <v>67</v>
      </c>
      <c r="L220" s="22">
        <v>941777.32</v>
      </c>
      <c r="M220" s="22">
        <v>941777.32</v>
      </c>
      <c r="N220" s="2" t="s">
        <v>38</v>
      </c>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v>941777.32</v>
      </c>
      <c r="AU220" s="7"/>
      <c r="AV220" s="7"/>
      <c r="AW220" s="7"/>
      <c r="AX220" s="7"/>
      <c r="AY220" s="7"/>
      <c r="AZ220" s="7"/>
      <c r="BA220" s="7"/>
      <c r="BB220" s="7"/>
      <c r="BC220" s="7"/>
      <c r="BD220" s="7"/>
      <c r="BE220" s="7"/>
      <c r="BF220" s="7"/>
      <c r="BG220" s="7"/>
      <c r="BH220" s="7"/>
      <c r="BI220" s="7"/>
      <c r="BJ220" s="7"/>
      <c r="BK220" s="7"/>
      <c r="BL220" s="7"/>
      <c r="BM220" s="7"/>
      <c r="BN220" s="7"/>
      <c r="BO220" s="7"/>
      <c r="BP220" s="8">
        <v>45898</v>
      </c>
      <c r="BQ220" s="2"/>
      <c r="BR220" s="2" t="s">
        <v>1801</v>
      </c>
      <c r="BS220" s="2"/>
      <c r="BT220" s="14">
        <f t="shared" si="12"/>
        <v>941777.32</v>
      </c>
      <c r="BU220" s="2" t="str">
        <f t="shared" si="10"/>
        <v>OK</v>
      </c>
      <c r="BV220" s="13">
        <f t="shared" si="11"/>
        <v>0</v>
      </c>
    </row>
    <row r="221" spans="1:74" s="9" customFormat="1" ht="45" hidden="1" x14ac:dyDescent="0.25">
      <c r="A221" s="2" t="s">
        <v>1607</v>
      </c>
      <c r="B221" s="2" t="s">
        <v>626</v>
      </c>
      <c r="C221" s="2" t="s">
        <v>331</v>
      </c>
      <c r="D221" s="12" t="s">
        <v>627</v>
      </c>
      <c r="E221" s="2"/>
      <c r="F221" s="2" t="s">
        <v>72</v>
      </c>
      <c r="G221" s="2" t="s">
        <v>1659</v>
      </c>
      <c r="H221" s="2" t="s">
        <v>66</v>
      </c>
      <c r="I221" s="2" t="s">
        <v>5</v>
      </c>
      <c r="J221" s="2">
        <v>750</v>
      </c>
      <c r="K221" s="2" t="s">
        <v>67</v>
      </c>
      <c r="L221" s="22">
        <v>76042.5</v>
      </c>
      <c r="M221" s="22">
        <v>76042.5</v>
      </c>
      <c r="N221" s="2" t="s">
        <v>32</v>
      </c>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v>76042.5</v>
      </c>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8">
        <v>45898</v>
      </c>
      <c r="BQ221" s="2"/>
      <c r="BR221" s="2" t="s">
        <v>1801</v>
      </c>
      <c r="BS221" s="2"/>
      <c r="BT221" s="14">
        <f t="shared" si="12"/>
        <v>76042.5</v>
      </c>
      <c r="BU221" s="2" t="str">
        <f t="shared" si="10"/>
        <v>OK</v>
      </c>
      <c r="BV221" s="13">
        <f t="shared" si="11"/>
        <v>0</v>
      </c>
    </row>
    <row r="222" spans="1:74" s="9" customFormat="1" ht="101.25" hidden="1" x14ac:dyDescent="0.25">
      <c r="A222" s="24" t="s">
        <v>1153</v>
      </c>
      <c r="B222" s="24" t="s">
        <v>69</v>
      </c>
      <c r="C222" s="24" t="s">
        <v>70</v>
      </c>
      <c r="D222" s="69" t="s">
        <v>71</v>
      </c>
      <c r="E222" s="2"/>
      <c r="F222" s="24" t="s">
        <v>1691</v>
      </c>
      <c r="G222" s="24" t="s">
        <v>1659</v>
      </c>
      <c r="H222" s="24" t="s">
        <v>66</v>
      </c>
      <c r="I222" s="24" t="s">
        <v>5</v>
      </c>
      <c r="J222" s="77" t="s">
        <v>1618</v>
      </c>
      <c r="K222" s="24" t="s">
        <v>67</v>
      </c>
      <c r="L222" s="70">
        <v>4743000</v>
      </c>
      <c r="M222" s="70">
        <v>4743000</v>
      </c>
      <c r="N222" s="24" t="s">
        <v>41</v>
      </c>
      <c r="O222" s="7">
        <v>0</v>
      </c>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v>4743000</v>
      </c>
      <c r="AX222" s="7"/>
      <c r="AY222" s="7"/>
      <c r="AZ222" s="7"/>
      <c r="BA222" s="7"/>
      <c r="BB222" s="7"/>
      <c r="BC222" s="7"/>
      <c r="BD222" s="7"/>
      <c r="BE222" s="7"/>
      <c r="BF222" s="7"/>
      <c r="BG222" s="7"/>
      <c r="BH222" s="7"/>
      <c r="BI222" s="7"/>
      <c r="BJ222" s="7"/>
      <c r="BK222" s="7"/>
      <c r="BL222" s="7"/>
      <c r="BM222" s="7"/>
      <c r="BN222" s="7"/>
      <c r="BO222" s="7"/>
      <c r="BP222" s="8">
        <v>45961</v>
      </c>
      <c r="BQ222" s="24"/>
      <c r="BR222" s="2" t="s">
        <v>1799</v>
      </c>
      <c r="BS222" s="24"/>
      <c r="BT222" s="14">
        <f t="shared" si="12"/>
        <v>4743000</v>
      </c>
      <c r="BU222" s="2" t="str">
        <f t="shared" si="10"/>
        <v>OK</v>
      </c>
      <c r="BV222" s="13">
        <f t="shared" si="11"/>
        <v>0</v>
      </c>
    </row>
    <row r="223" spans="1:74" s="9" customFormat="1" ht="117" customHeight="1" x14ac:dyDescent="0.25">
      <c r="A223" s="2" t="s">
        <v>1316</v>
      </c>
      <c r="B223" s="2" t="s">
        <v>651</v>
      </c>
      <c r="C223" s="2" t="s">
        <v>379</v>
      </c>
      <c r="D223" s="12" t="s">
        <v>652</v>
      </c>
      <c r="E223" s="2" t="s">
        <v>653</v>
      </c>
      <c r="F223" s="2" t="s">
        <v>72</v>
      </c>
      <c r="G223" s="2" t="s">
        <v>1668</v>
      </c>
      <c r="H223" s="2" t="s">
        <v>77</v>
      </c>
      <c r="I223" s="2" t="s">
        <v>1618</v>
      </c>
      <c r="J223" s="2" t="s">
        <v>1618</v>
      </c>
      <c r="K223" s="2" t="s">
        <v>384</v>
      </c>
      <c r="L223" s="22">
        <v>800000</v>
      </c>
      <c r="M223" s="22">
        <v>800000</v>
      </c>
      <c r="N223" s="2" t="s">
        <v>381</v>
      </c>
      <c r="O223" s="7"/>
      <c r="P223" s="7">
        <v>800000</v>
      </c>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2"/>
      <c r="BQ223" s="8">
        <v>45711</v>
      </c>
      <c r="BR223" s="8"/>
      <c r="BS223" s="2" t="s">
        <v>1749</v>
      </c>
      <c r="BT223" s="14">
        <f t="shared" si="12"/>
        <v>800000</v>
      </c>
      <c r="BU223" s="2" t="str">
        <f t="shared" si="10"/>
        <v>OK</v>
      </c>
      <c r="BV223" s="13">
        <f t="shared" si="11"/>
        <v>0</v>
      </c>
    </row>
    <row r="224" spans="1:74" s="9" customFormat="1" ht="122.25" customHeight="1" x14ac:dyDescent="0.25">
      <c r="A224" s="2" t="s">
        <v>1279</v>
      </c>
      <c r="B224" s="2" t="s">
        <v>431</v>
      </c>
      <c r="C224" s="2" t="s">
        <v>379</v>
      </c>
      <c r="D224" s="12" t="s">
        <v>432</v>
      </c>
      <c r="E224" s="2" t="s">
        <v>433</v>
      </c>
      <c r="F224" s="2" t="s">
        <v>72</v>
      </c>
      <c r="G224" s="2" t="s">
        <v>1668</v>
      </c>
      <c r="H224" s="2" t="s">
        <v>294</v>
      </c>
      <c r="I224" s="2" t="s">
        <v>1618</v>
      </c>
      <c r="J224" s="2" t="s">
        <v>1618</v>
      </c>
      <c r="K224" s="2" t="s">
        <v>384</v>
      </c>
      <c r="L224" s="22">
        <v>3300000</v>
      </c>
      <c r="M224" s="22">
        <v>2000000</v>
      </c>
      <c r="N224" s="2" t="s">
        <v>381</v>
      </c>
      <c r="O224" s="7"/>
      <c r="P224" s="7">
        <v>2000000</v>
      </c>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8"/>
      <c r="BQ224" s="8">
        <v>45713</v>
      </c>
      <c r="BR224" s="2"/>
      <c r="BS224" s="2" t="s">
        <v>1746</v>
      </c>
      <c r="BT224" s="14">
        <f t="shared" si="12"/>
        <v>2000000</v>
      </c>
      <c r="BU224" s="2" t="str">
        <f t="shared" si="10"/>
        <v>OK</v>
      </c>
      <c r="BV224" s="13">
        <f t="shared" si="11"/>
        <v>0</v>
      </c>
    </row>
    <row r="225" spans="1:74" s="9" customFormat="1" ht="104.25" customHeight="1" x14ac:dyDescent="0.25">
      <c r="A225" s="2" t="s">
        <v>1284</v>
      </c>
      <c r="B225" s="2" t="s">
        <v>415</v>
      </c>
      <c r="C225" s="2" t="s">
        <v>379</v>
      </c>
      <c r="D225" s="12" t="s">
        <v>416</v>
      </c>
      <c r="E225" s="2" t="s">
        <v>417</v>
      </c>
      <c r="F225" s="2" t="s">
        <v>72</v>
      </c>
      <c r="G225" s="2" t="s">
        <v>1668</v>
      </c>
      <c r="H225" s="2" t="s">
        <v>294</v>
      </c>
      <c r="I225" s="2" t="s">
        <v>1618</v>
      </c>
      <c r="J225" s="2" t="s">
        <v>1618</v>
      </c>
      <c r="K225" s="2" t="s">
        <v>384</v>
      </c>
      <c r="L225" s="22">
        <v>2600000</v>
      </c>
      <c r="M225" s="22">
        <v>2600000</v>
      </c>
      <c r="N225" s="2" t="s">
        <v>403</v>
      </c>
      <c r="O225" s="7"/>
      <c r="P225" s="7">
        <v>2600000</v>
      </c>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8"/>
      <c r="BQ225" s="8">
        <v>45713</v>
      </c>
      <c r="BR225" s="2"/>
      <c r="BS225" s="8" t="s">
        <v>1745</v>
      </c>
      <c r="BT225" s="14">
        <f t="shared" si="12"/>
        <v>2600000</v>
      </c>
      <c r="BU225" s="2" t="str">
        <f t="shared" si="10"/>
        <v>OK</v>
      </c>
      <c r="BV225" s="13">
        <f t="shared" si="11"/>
        <v>0</v>
      </c>
    </row>
    <row r="226" spans="1:74" s="9" customFormat="1" ht="45" x14ac:dyDescent="0.25">
      <c r="A226" s="2" t="s">
        <v>1309</v>
      </c>
      <c r="B226" s="2" t="s">
        <v>548</v>
      </c>
      <c r="C226" s="2" t="s">
        <v>379</v>
      </c>
      <c r="D226" s="12" t="s">
        <v>549</v>
      </c>
      <c r="E226" s="31" t="s">
        <v>550</v>
      </c>
      <c r="F226" s="2" t="s">
        <v>72</v>
      </c>
      <c r="G226" s="2" t="s">
        <v>1668</v>
      </c>
      <c r="H226" s="2" t="s">
        <v>294</v>
      </c>
      <c r="I226" s="2" t="s">
        <v>1618</v>
      </c>
      <c r="J226" s="2" t="s">
        <v>1618</v>
      </c>
      <c r="K226" s="2" t="s">
        <v>384</v>
      </c>
      <c r="L226" s="22">
        <v>1000000</v>
      </c>
      <c r="M226" s="22">
        <v>1000000</v>
      </c>
      <c r="N226" s="2" t="s">
        <v>11</v>
      </c>
      <c r="O226" s="7"/>
      <c r="P226" s="7"/>
      <c r="Q226" s="7"/>
      <c r="R226" s="7"/>
      <c r="S226" s="7">
        <f>M226</f>
        <v>1000000</v>
      </c>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8"/>
      <c r="BQ226" s="8">
        <v>45713</v>
      </c>
      <c r="BR226" s="2"/>
      <c r="BS226" s="2" t="s">
        <v>1750</v>
      </c>
      <c r="BT226" s="14">
        <f t="shared" si="12"/>
        <v>1000000</v>
      </c>
      <c r="BU226" s="2" t="str">
        <f t="shared" si="10"/>
        <v>OK</v>
      </c>
      <c r="BV226" s="13">
        <f t="shared" si="11"/>
        <v>0</v>
      </c>
    </row>
    <row r="227" spans="1:74" s="9" customFormat="1" ht="105.75" customHeight="1" x14ac:dyDescent="0.25">
      <c r="A227" s="2" t="s">
        <v>1286</v>
      </c>
      <c r="B227" s="2" t="s">
        <v>447</v>
      </c>
      <c r="C227" s="2" t="s">
        <v>379</v>
      </c>
      <c r="D227" s="12" t="s">
        <v>448</v>
      </c>
      <c r="E227" s="2" t="s">
        <v>1748</v>
      </c>
      <c r="F227" s="2" t="s">
        <v>72</v>
      </c>
      <c r="G227" s="2" t="s">
        <v>1668</v>
      </c>
      <c r="H227" s="2" t="s">
        <v>294</v>
      </c>
      <c r="I227" s="2" t="s">
        <v>1618</v>
      </c>
      <c r="J227" s="2" t="s">
        <v>1618</v>
      </c>
      <c r="K227" s="2" t="s">
        <v>384</v>
      </c>
      <c r="L227" s="22">
        <v>2500000</v>
      </c>
      <c r="M227" s="22">
        <v>1500000</v>
      </c>
      <c r="N227" s="2" t="s">
        <v>403</v>
      </c>
      <c r="O227" s="7"/>
      <c r="P227" s="7">
        <v>1500000</v>
      </c>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8"/>
      <c r="BQ227" s="8">
        <v>45719</v>
      </c>
      <c r="BR227" s="2"/>
      <c r="BS227" s="2" t="s">
        <v>1745</v>
      </c>
      <c r="BT227" s="14">
        <f t="shared" si="12"/>
        <v>1500000</v>
      </c>
      <c r="BU227" s="2" t="str">
        <f t="shared" si="10"/>
        <v>OK</v>
      </c>
      <c r="BV227" s="13">
        <f t="shared" si="11"/>
        <v>0</v>
      </c>
    </row>
    <row r="228" spans="1:74" s="9" customFormat="1" ht="114" customHeight="1" x14ac:dyDescent="0.25">
      <c r="A228" s="2" t="s">
        <v>1313</v>
      </c>
      <c r="B228" s="2" t="s">
        <v>459</v>
      </c>
      <c r="C228" s="2" t="s">
        <v>379</v>
      </c>
      <c r="D228" s="12" t="s">
        <v>460</v>
      </c>
      <c r="E228" s="2" t="s">
        <v>461</v>
      </c>
      <c r="F228" s="2" t="s">
        <v>72</v>
      </c>
      <c r="G228" s="2" t="s">
        <v>1668</v>
      </c>
      <c r="H228" s="2" t="s">
        <v>294</v>
      </c>
      <c r="I228" s="2" t="s">
        <v>1618</v>
      </c>
      <c r="J228" s="2" t="s">
        <v>1618</v>
      </c>
      <c r="K228" s="2" t="s">
        <v>384</v>
      </c>
      <c r="L228" s="22">
        <v>1200000</v>
      </c>
      <c r="M228" s="22">
        <v>800000</v>
      </c>
      <c r="N228" s="2" t="s">
        <v>403</v>
      </c>
      <c r="O228" s="7"/>
      <c r="P228" s="7">
        <v>800000</v>
      </c>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8"/>
      <c r="BQ228" s="8">
        <v>45743</v>
      </c>
      <c r="BR228" s="2"/>
      <c r="BS228" s="2" t="s">
        <v>1745</v>
      </c>
      <c r="BT228" s="14">
        <f t="shared" si="12"/>
        <v>800000</v>
      </c>
      <c r="BU228" s="2" t="str">
        <f t="shared" si="10"/>
        <v>OK</v>
      </c>
      <c r="BV228" s="13">
        <f t="shared" si="11"/>
        <v>0</v>
      </c>
    </row>
    <row r="229" spans="1:74" s="9" customFormat="1" ht="81.75" customHeight="1" x14ac:dyDescent="0.25">
      <c r="A229" s="2" t="s">
        <v>1290</v>
      </c>
      <c r="B229" s="2" t="s">
        <v>395</v>
      </c>
      <c r="C229" s="2" t="s">
        <v>379</v>
      </c>
      <c r="D229" s="12" t="s">
        <v>396</v>
      </c>
      <c r="E229" s="2" t="s">
        <v>397</v>
      </c>
      <c r="F229" s="2" t="s">
        <v>72</v>
      </c>
      <c r="G229" s="2" t="s">
        <v>1668</v>
      </c>
      <c r="H229" s="2" t="s">
        <v>294</v>
      </c>
      <c r="I229" s="2" t="s">
        <v>1618</v>
      </c>
      <c r="J229" s="2" t="s">
        <v>1618</v>
      </c>
      <c r="K229" s="2" t="s">
        <v>384</v>
      </c>
      <c r="L229" s="22">
        <v>2000000</v>
      </c>
      <c r="M229" s="22">
        <v>1000000</v>
      </c>
      <c r="N229" s="2" t="s">
        <v>398</v>
      </c>
      <c r="O229" s="7"/>
      <c r="P229" s="7"/>
      <c r="Q229" s="7"/>
      <c r="R229" s="7"/>
      <c r="S229" s="7"/>
      <c r="T229" s="7"/>
      <c r="U229" s="7"/>
      <c r="V229" s="7"/>
      <c r="W229" s="7"/>
      <c r="X229" s="7"/>
      <c r="Y229" s="7"/>
      <c r="Z229" s="7"/>
      <c r="AA229" s="7"/>
      <c r="AB229" s="7"/>
      <c r="AC229" s="7"/>
      <c r="AD229" s="7"/>
      <c r="AE229" s="7"/>
      <c r="AF229" s="7">
        <v>1000000</v>
      </c>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8"/>
      <c r="BQ229" s="8">
        <v>45748</v>
      </c>
      <c r="BR229" s="2"/>
      <c r="BS229" s="8" t="s">
        <v>1744</v>
      </c>
      <c r="BT229" s="14">
        <f t="shared" si="12"/>
        <v>1000000</v>
      </c>
      <c r="BU229" s="2" t="str">
        <f t="shared" si="10"/>
        <v>OK</v>
      </c>
      <c r="BV229" s="13">
        <f t="shared" si="11"/>
        <v>0</v>
      </c>
    </row>
    <row r="230" spans="1:74" s="9" customFormat="1" ht="129.75" customHeight="1" x14ac:dyDescent="0.25">
      <c r="A230" s="2" t="s">
        <v>1371</v>
      </c>
      <c r="B230" s="2" t="s">
        <v>638</v>
      </c>
      <c r="C230" s="2" t="s">
        <v>379</v>
      </c>
      <c r="D230" s="12" t="s">
        <v>639</v>
      </c>
      <c r="E230" s="2" t="s">
        <v>640</v>
      </c>
      <c r="F230" s="2" t="s">
        <v>72</v>
      </c>
      <c r="G230" s="2" t="s">
        <v>1668</v>
      </c>
      <c r="H230" s="2" t="s">
        <v>294</v>
      </c>
      <c r="I230" s="2" t="s">
        <v>1618</v>
      </c>
      <c r="J230" s="2" t="s">
        <v>1618</v>
      </c>
      <c r="K230" s="2" t="s">
        <v>384</v>
      </c>
      <c r="L230" s="22">
        <v>200000</v>
      </c>
      <c r="M230" s="22">
        <v>200000</v>
      </c>
      <c r="N230" s="2" t="s">
        <v>381</v>
      </c>
      <c r="O230" s="7"/>
      <c r="P230" s="7">
        <v>200000</v>
      </c>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8"/>
      <c r="BQ230" s="8">
        <v>45775</v>
      </c>
      <c r="BR230" s="2"/>
      <c r="BS230" s="2" t="s">
        <v>1749</v>
      </c>
      <c r="BT230" s="14">
        <f t="shared" si="12"/>
        <v>200000</v>
      </c>
      <c r="BU230" s="2" t="str">
        <f t="shared" si="10"/>
        <v>OK</v>
      </c>
      <c r="BV230" s="13">
        <f t="shared" si="11"/>
        <v>0</v>
      </c>
    </row>
    <row r="231" spans="1:74" s="9" customFormat="1" ht="77.25" customHeight="1" x14ac:dyDescent="0.25">
      <c r="A231" s="2" t="s">
        <v>1312</v>
      </c>
      <c r="B231" s="2" t="s">
        <v>449</v>
      </c>
      <c r="C231" s="2" t="s">
        <v>379</v>
      </c>
      <c r="D231" s="12" t="s">
        <v>450</v>
      </c>
      <c r="E231" s="2" t="s">
        <v>451</v>
      </c>
      <c r="F231" s="2" t="s">
        <v>72</v>
      </c>
      <c r="G231" s="2" t="s">
        <v>1668</v>
      </c>
      <c r="H231" s="2" t="s">
        <v>77</v>
      </c>
      <c r="I231" s="2" t="s">
        <v>1618</v>
      </c>
      <c r="J231" s="2" t="s">
        <v>1618</v>
      </c>
      <c r="K231" s="2" t="s">
        <v>384</v>
      </c>
      <c r="L231" s="22">
        <v>850000</v>
      </c>
      <c r="M231" s="22">
        <v>850000</v>
      </c>
      <c r="N231" s="2" t="s">
        <v>23</v>
      </c>
      <c r="O231" s="7"/>
      <c r="P231" s="7"/>
      <c r="Q231" s="7"/>
      <c r="R231" s="7"/>
      <c r="S231" s="7"/>
      <c r="T231" s="7"/>
      <c r="U231" s="7"/>
      <c r="V231" s="7"/>
      <c r="W231" s="7"/>
      <c r="X231" s="7"/>
      <c r="Y231" s="7"/>
      <c r="Z231" s="7"/>
      <c r="AA231" s="7"/>
      <c r="AB231" s="7"/>
      <c r="AC231" s="7"/>
      <c r="AD231" s="7"/>
      <c r="AE231" s="7">
        <f>M231</f>
        <v>850000</v>
      </c>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2"/>
      <c r="BQ231" s="8">
        <v>45777</v>
      </c>
      <c r="BR231" s="8"/>
      <c r="BS231" s="2" t="s">
        <v>1746</v>
      </c>
      <c r="BT231" s="14">
        <f t="shared" si="12"/>
        <v>850000</v>
      </c>
      <c r="BU231" s="2" t="str">
        <f t="shared" si="10"/>
        <v>OK</v>
      </c>
      <c r="BV231" s="13">
        <f t="shared" si="11"/>
        <v>0</v>
      </c>
    </row>
    <row r="232" spans="1:74" s="9" customFormat="1" ht="126.75" customHeight="1" x14ac:dyDescent="0.25">
      <c r="A232" s="2" t="s">
        <v>1349</v>
      </c>
      <c r="B232" s="2" t="s">
        <v>465</v>
      </c>
      <c r="C232" s="2" t="s">
        <v>379</v>
      </c>
      <c r="D232" s="12" t="s">
        <v>466</v>
      </c>
      <c r="E232" s="2" t="s">
        <v>467</v>
      </c>
      <c r="F232" s="2" t="s">
        <v>72</v>
      </c>
      <c r="G232" s="2" t="s">
        <v>1668</v>
      </c>
      <c r="H232" s="2" t="s">
        <v>77</v>
      </c>
      <c r="I232" s="2" t="s">
        <v>1618</v>
      </c>
      <c r="J232" s="2" t="s">
        <v>1618</v>
      </c>
      <c r="K232" s="2" t="s">
        <v>384</v>
      </c>
      <c r="L232" s="22">
        <v>400000</v>
      </c>
      <c r="M232" s="22">
        <v>400000</v>
      </c>
      <c r="N232" s="2" t="s">
        <v>381</v>
      </c>
      <c r="O232" s="7"/>
      <c r="P232" s="7">
        <v>400000</v>
      </c>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2"/>
      <c r="BQ232" s="8">
        <v>45784</v>
      </c>
      <c r="BR232" s="8"/>
      <c r="BS232" s="2" t="s">
        <v>1744</v>
      </c>
      <c r="BT232" s="14">
        <f t="shared" si="12"/>
        <v>400000</v>
      </c>
      <c r="BU232" s="2" t="str">
        <f t="shared" si="10"/>
        <v>OK</v>
      </c>
      <c r="BV232" s="13">
        <f t="shared" si="11"/>
        <v>0</v>
      </c>
    </row>
    <row r="233" spans="1:74" s="9" customFormat="1" ht="126.75" customHeight="1" x14ac:dyDescent="0.25">
      <c r="A233" s="2" t="s">
        <v>1301</v>
      </c>
      <c r="B233" s="2" t="s">
        <v>454</v>
      </c>
      <c r="C233" s="2" t="s">
        <v>379</v>
      </c>
      <c r="D233" s="12" t="s">
        <v>455</v>
      </c>
      <c r="E233" s="2" t="s">
        <v>456</v>
      </c>
      <c r="F233" s="2" t="s">
        <v>72</v>
      </c>
      <c r="G233" s="2" t="s">
        <v>1668</v>
      </c>
      <c r="H233" s="2" t="s">
        <v>77</v>
      </c>
      <c r="I233" s="2" t="s">
        <v>1618</v>
      </c>
      <c r="J233" s="2" t="s">
        <v>1618</v>
      </c>
      <c r="K233" s="2" t="s">
        <v>384</v>
      </c>
      <c r="L233" s="22">
        <v>1500000</v>
      </c>
      <c r="M233" s="22">
        <v>1500000</v>
      </c>
      <c r="N233" s="2" t="s">
        <v>381</v>
      </c>
      <c r="O233" s="7"/>
      <c r="P233" s="7">
        <v>1500000</v>
      </c>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2"/>
      <c r="BQ233" s="8">
        <v>45790</v>
      </c>
      <c r="BR233" s="8"/>
      <c r="BS233" s="2" t="s">
        <v>1746</v>
      </c>
      <c r="BT233" s="14">
        <f t="shared" si="12"/>
        <v>1500000</v>
      </c>
      <c r="BU233" s="2" t="str">
        <f t="shared" si="10"/>
        <v>OK</v>
      </c>
      <c r="BV233" s="13">
        <f t="shared" si="11"/>
        <v>0</v>
      </c>
    </row>
    <row r="234" spans="1:74" s="9" customFormat="1" ht="90" x14ac:dyDescent="0.25">
      <c r="A234" s="2" t="s">
        <v>1515</v>
      </c>
      <c r="B234" s="2" t="s">
        <v>883</v>
      </c>
      <c r="C234" s="2" t="s">
        <v>681</v>
      </c>
      <c r="D234" s="12" t="s">
        <v>884</v>
      </c>
      <c r="E234" s="2"/>
      <c r="F234" s="2" t="s">
        <v>65</v>
      </c>
      <c r="G234" s="2" t="s">
        <v>2028</v>
      </c>
      <c r="H234" s="2" t="s">
        <v>77</v>
      </c>
      <c r="I234" s="2" t="s">
        <v>686</v>
      </c>
      <c r="J234" s="2" t="s">
        <v>1618</v>
      </c>
      <c r="K234" s="2" t="s">
        <v>67</v>
      </c>
      <c r="L234" s="22">
        <v>12137.4</v>
      </c>
      <c r="M234" s="22">
        <v>12137.4</v>
      </c>
      <c r="N234" s="2" t="s">
        <v>1137</v>
      </c>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v>9013.0499999999993</v>
      </c>
      <c r="BE234" s="7">
        <v>3124.35</v>
      </c>
      <c r="BF234" s="7"/>
      <c r="BG234" s="7"/>
      <c r="BH234" s="7"/>
      <c r="BI234" s="7"/>
      <c r="BJ234" s="7"/>
      <c r="BK234" s="7"/>
      <c r="BL234" s="7"/>
      <c r="BM234" s="7"/>
      <c r="BN234" s="7"/>
      <c r="BO234" s="7"/>
      <c r="BP234" s="2"/>
      <c r="BQ234" s="8">
        <v>46022</v>
      </c>
      <c r="BR234" s="8"/>
      <c r="BS234" s="2"/>
      <c r="BT234" s="14">
        <f t="shared" si="12"/>
        <v>12137.4</v>
      </c>
      <c r="BU234" s="2" t="str">
        <f t="shared" si="10"/>
        <v>OK</v>
      </c>
      <c r="BV234" s="13">
        <f t="shared" si="11"/>
        <v>0</v>
      </c>
    </row>
    <row r="235" spans="1:74" s="9" customFormat="1" ht="78.75" x14ac:dyDescent="0.25">
      <c r="A235" s="2" t="s">
        <v>1516</v>
      </c>
      <c r="B235" s="2" t="s">
        <v>862</v>
      </c>
      <c r="C235" s="2" t="s">
        <v>681</v>
      </c>
      <c r="D235" s="12" t="s">
        <v>863</v>
      </c>
      <c r="E235" s="2"/>
      <c r="F235" s="2" t="s">
        <v>65</v>
      </c>
      <c r="G235" s="2" t="s">
        <v>2028</v>
      </c>
      <c r="H235" s="2" t="s">
        <v>77</v>
      </c>
      <c r="I235" s="2" t="s">
        <v>686</v>
      </c>
      <c r="J235" s="2" t="s">
        <v>1618</v>
      </c>
      <c r="K235" s="2" t="s">
        <v>67</v>
      </c>
      <c r="L235" s="22">
        <v>11850.75</v>
      </c>
      <c r="M235" s="22">
        <v>11850.75</v>
      </c>
      <c r="N235" s="2" t="s">
        <v>49</v>
      </c>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v>11850.75</v>
      </c>
      <c r="BF235" s="7"/>
      <c r="BG235" s="7"/>
      <c r="BH235" s="7"/>
      <c r="BI235" s="7"/>
      <c r="BJ235" s="7"/>
      <c r="BK235" s="7"/>
      <c r="BL235" s="7"/>
      <c r="BM235" s="7"/>
      <c r="BN235" s="7"/>
      <c r="BO235" s="7"/>
      <c r="BP235" s="2"/>
      <c r="BQ235" s="8">
        <v>46022</v>
      </c>
      <c r="BR235" s="8"/>
      <c r="BS235" s="2" t="s">
        <v>1750</v>
      </c>
      <c r="BT235" s="14">
        <f t="shared" si="12"/>
        <v>11850.75</v>
      </c>
      <c r="BU235" s="2" t="str">
        <f t="shared" si="10"/>
        <v>OK</v>
      </c>
      <c r="BV235" s="13">
        <f t="shared" si="11"/>
        <v>0</v>
      </c>
    </row>
    <row r="236" spans="1:74" s="9" customFormat="1" ht="90" x14ac:dyDescent="0.25">
      <c r="A236" s="2" t="s">
        <v>1272</v>
      </c>
      <c r="B236" s="2" t="s">
        <v>617</v>
      </c>
      <c r="C236" s="2" t="s">
        <v>379</v>
      </c>
      <c r="D236" s="12" t="s">
        <v>618</v>
      </c>
      <c r="E236" s="2" t="s">
        <v>619</v>
      </c>
      <c r="F236" s="2" t="s">
        <v>72</v>
      </c>
      <c r="G236" s="2" t="s">
        <v>1668</v>
      </c>
      <c r="H236" s="2" t="s">
        <v>77</v>
      </c>
      <c r="I236" s="2" t="s">
        <v>1618</v>
      </c>
      <c r="J236" s="2" t="s">
        <v>1618</v>
      </c>
      <c r="K236" s="2" t="s">
        <v>384</v>
      </c>
      <c r="L236" s="22">
        <v>7000000</v>
      </c>
      <c r="M236" s="22">
        <v>3000000</v>
      </c>
      <c r="N236" s="2" t="s">
        <v>381</v>
      </c>
      <c r="O236" s="7"/>
      <c r="P236" s="7">
        <v>3000000</v>
      </c>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2"/>
      <c r="BQ236" s="8">
        <v>45793</v>
      </c>
      <c r="BR236" s="8"/>
      <c r="BS236" s="8" t="s">
        <v>1749</v>
      </c>
      <c r="BT236" s="14">
        <f t="shared" si="12"/>
        <v>3000000</v>
      </c>
      <c r="BU236" s="2" t="str">
        <f t="shared" si="10"/>
        <v>OK</v>
      </c>
      <c r="BV236" s="13">
        <f t="shared" si="11"/>
        <v>0</v>
      </c>
    </row>
    <row r="237" spans="1:74" s="9" customFormat="1" ht="71.25" customHeight="1" x14ac:dyDescent="0.25">
      <c r="A237" s="2" t="s">
        <v>1285</v>
      </c>
      <c r="B237" s="2" t="s">
        <v>434</v>
      </c>
      <c r="C237" s="2" t="s">
        <v>379</v>
      </c>
      <c r="D237" s="12" t="s">
        <v>1755</v>
      </c>
      <c r="E237" s="2" t="s">
        <v>435</v>
      </c>
      <c r="F237" s="2" t="s">
        <v>72</v>
      </c>
      <c r="G237" s="2" t="s">
        <v>1668</v>
      </c>
      <c r="H237" s="2" t="s">
        <v>294</v>
      </c>
      <c r="I237" s="2" t="s">
        <v>1618</v>
      </c>
      <c r="J237" s="2" t="s">
        <v>1618</v>
      </c>
      <c r="K237" s="2" t="s">
        <v>384</v>
      </c>
      <c r="L237" s="22">
        <v>6611668.5199999996</v>
      </c>
      <c r="M237" s="22">
        <v>2500000</v>
      </c>
      <c r="N237" s="2" t="s">
        <v>23</v>
      </c>
      <c r="O237" s="7"/>
      <c r="P237" s="7"/>
      <c r="Q237" s="7"/>
      <c r="R237" s="7"/>
      <c r="S237" s="7"/>
      <c r="T237" s="7"/>
      <c r="U237" s="7"/>
      <c r="V237" s="7"/>
      <c r="W237" s="7"/>
      <c r="X237" s="7"/>
      <c r="Y237" s="7"/>
      <c r="Z237" s="7"/>
      <c r="AA237" s="7"/>
      <c r="AB237" s="7"/>
      <c r="AC237" s="7"/>
      <c r="AD237" s="7"/>
      <c r="AE237" s="7">
        <f>M237</f>
        <v>2500000</v>
      </c>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8"/>
      <c r="BQ237" s="8">
        <v>45796</v>
      </c>
      <c r="BR237" s="2"/>
      <c r="BS237" s="2" t="s">
        <v>1745</v>
      </c>
      <c r="BT237" s="14">
        <f t="shared" si="12"/>
        <v>2500000</v>
      </c>
      <c r="BU237" s="2" t="str">
        <f t="shared" si="10"/>
        <v>OK</v>
      </c>
      <c r="BV237" s="13">
        <f t="shared" si="11"/>
        <v>0</v>
      </c>
    </row>
    <row r="238" spans="1:74" s="9" customFormat="1" ht="117" customHeight="1" x14ac:dyDescent="0.25">
      <c r="A238" s="2" t="s">
        <v>1315</v>
      </c>
      <c r="B238" s="2" t="s">
        <v>444</v>
      </c>
      <c r="C238" s="2" t="s">
        <v>379</v>
      </c>
      <c r="D238" s="12" t="s">
        <v>445</v>
      </c>
      <c r="E238" s="2" t="s">
        <v>446</v>
      </c>
      <c r="F238" s="2" t="s">
        <v>72</v>
      </c>
      <c r="G238" s="2" t="s">
        <v>1668</v>
      </c>
      <c r="H238" s="2" t="s">
        <v>77</v>
      </c>
      <c r="I238" s="2" t="s">
        <v>1618</v>
      </c>
      <c r="J238" s="2" t="s">
        <v>1618</v>
      </c>
      <c r="K238" s="2" t="s">
        <v>384</v>
      </c>
      <c r="L238" s="22">
        <v>800000</v>
      </c>
      <c r="M238" s="22">
        <v>800000</v>
      </c>
      <c r="N238" s="2" t="s">
        <v>381</v>
      </c>
      <c r="O238" s="7"/>
      <c r="P238" s="7">
        <f>M238</f>
        <v>800000</v>
      </c>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2"/>
      <c r="BQ238" s="8">
        <v>45798</v>
      </c>
      <c r="BR238" s="8"/>
      <c r="BS238" s="15" t="s">
        <v>1746</v>
      </c>
      <c r="BT238" s="14">
        <f t="shared" si="12"/>
        <v>800000</v>
      </c>
      <c r="BU238" s="2" t="str">
        <f t="shared" si="10"/>
        <v>OK</v>
      </c>
      <c r="BV238" s="13">
        <f t="shared" si="11"/>
        <v>0</v>
      </c>
    </row>
    <row r="239" spans="1:74" s="9" customFormat="1" ht="121.5" customHeight="1" x14ac:dyDescent="0.25">
      <c r="A239" s="2" t="s">
        <v>1288</v>
      </c>
      <c r="B239" s="2" t="s">
        <v>545</v>
      </c>
      <c r="C239" s="2" t="s">
        <v>379</v>
      </c>
      <c r="D239" s="12" t="s">
        <v>546</v>
      </c>
      <c r="E239" s="2" t="s">
        <v>547</v>
      </c>
      <c r="F239" s="2" t="s">
        <v>72</v>
      </c>
      <c r="G239" s="2" t="s">
        <v>1668</v>
      </c>
      <c r="H239" s="2" t="s">
        <v>77</v>
      </c>
      <c r="I239" s="2" t="s">
        <v>1618</v>
      </c>
      <c r="J239" s="2" t="s">
        <v>1618</v>
      </c>
      <c r="K239" s="2" t="s">
        <v>384</v>
      </c>
      <c r="L239" s="22">
        <v>2350000</v>
      </c>
      <c r="M239" s="22">
        <v>2350000</v>
      </c>
      <c r="N239" s="2" t="s">
        <v>381</v>
      </c>
      <c r="O239" s="7"/>
      <c r="P239" s="7">
        <f>M239</f>
        <v>2350000</v>
      </c>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2"/>
      <c r="BQ239" s="8">
        <v>45830</v>
      </c>
      <c r="BR239" s="8"/>
      <c r="BS239" s="2" t="s">
        <v>1749</v>
      </c>
      <c r="BT239" s="14">
        <f t="shared" si="12"/>
        <v>2350000</v>
      </c>
      <c r="BU239" s="2" t="str">
        <f t="shared" si="10"/>
        <v>OK</v>
      </c>
      <c r="BV239" s="13">
        <f t="shared" si="11"/>
        <v>0</v>
      </c>
    </row>
    <row r="240" spans="1:74" s="9" customFormat="1" ht="126.75" customHeight="1" x14ac:dyDescent="0.25">
      <c r="A240" s="2" t="s">
        <v>1292</v>
      </c>
      <c r="B240" s="2" t="s">
        <v>623</v>
      </c>
      <c r="C240" s="2" t="s">
        <v>379</v>
      </c>
      <c r="D240" s="12" t="s">
        <v>624</v>
      </c>
      <c r="E240" s="2" t="s">
        <v>625</v>
      </c>
      <c r="F240" s="2" t="s">
        <v>72</v>
      </c>
      <c r="G240" s="2" t="s">
        <v>1668</v>
      </c>
      <c r="H240" s="2" t="s">
        <v>77</v>
      </c>
      <c r="I240" s="2" t="s">
        <v>1618</v>
      </c>
      <c r="J240" s="2" t="s">
        <v>1618</v>
      </c>
      <c r="K240" s="2" t="s">
        <v>384</v>
      </c>
      <c r="L240" s="22">
        <v>2000000</v>
      </c>
      <c r="M240" s="22">
        <v>2000000</v>
      </c>
      <c r="N240" s="2" t="s">
        <v>381</v>
      </c>
      <c r="O240" s="7"/>
      <c r="P240" s="7">
        <v>2000000</v>
      </c>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2"/>
      <c r="BQ240" s="8">
        <v>45830</v>
      </c>
      <c r="BR240" s="8"/>
      <c r="BS240" s="2" t="s">
        <v>1749</v>
      </c>
      <c r="BT240" s="14">
        <f t="shared" si="12"/>
        <v>2000000</v>
      </c>
      <c r="BU240" s="2" t="str">
        <f t="shared" si="10"/>
        <v>OK</v>
      </c>
      <c r="BV240" s="13">
        <f t="shared" si="11"/>
        <v>0</v>
      </c>
    </row>
    <row r="241" spans="1:74" s="9" customFormat="1" ht="126.75" customHeight="1" x14ac:dyDescent="0.25">
      <c r="A241" s="2" t="s">
        <v>1277</v>
      </c>
      <c r="B241" s="2" t="s">
        <v>630</v>
      </c>
      <c r="C241" s="2" t="s">
        <v>379</v>
      </c>
      <c r="D241" s="12" t="s">
        <v>631</v>
      </c>
      <c r="E241" s="2" t="s">
        <v>632</v>
      </c>
      <c r="F241" s="2" t="s">
        <v>72</v>
      </c>
      <c r="G241" s="2" t="s">
        <v>1668</v>
      </c>
      <c r="H241" s="2" t="s">
        <v>77</v>
      </c>
      <c r="I241" s="2" t="s">
        <v>1618</v>
      </c>
      <c r="J241" s="2" t="s">
        <v>1618</v>
      </c>
      <c r="K241" s="2" t="s">
        <v>384</v>
      </c>
      <c r="L241" s="22">
        <v>3600000</v>
      </c>
      <c r="M241" s="22">
        <v>3600000</v>
      </c>
      <c r="N241" s="2" t="s">
        <v>381</v>
      </c>
      <c r="O241" s="7"/>
      <c r="P241" s="7">
        <v>3600000</v>
      </c>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2"/>
      <c r="BQ241" s="8">
        <v>45837</v>
      </c>
      <c r="BR241" s="8"/>
      <c r="BS241" s="2" t="s">
        <v>1749</v>
      </c>
      <c r="BT241" s="14">
        <f t="shared" si="12"/>
        <v>3600000</v>
      </c>
      <c r="BU241" s="2" t="str">
        <f t="shared" si="10"/>
        <v>OK</v>
      </c>
      <c r="BV241" s="13">
        <f t="shared" si="11"/>
        <v>0</v>
      </c>
    </row>
    <row r="242" spans="1:74" s="9" customFormat="1" ht="45" x14ac:dyDescent="0.25">
      <c r="A242" s="2" t="s">
        <v>1391</v>
      </c>
      <c r="B242" s="2" t="s">
        <v>1119</v>
      </c>
      <c r="C242" s="2" t="s">
        <v>681</v>
      </c>
      <c r="D242" s="12" t="s">
        <v>1777</v>
      </c>
      <c r="E242" s="2" t="s">
        <v>1778</v>
      </c>
      <c r="F242" s="2" t="s">
        <v>1694</v>
      </c>
      <c r="G242" s="2" t="s">
        <v>1668</v>
      </c>
      <c r="H242" s="2" t="s">
        <v>77</v>
      </c>
      <c r="I242" s="2" t="s">
        <v>1618</v>
      </c>
      <c r="J242" s="2" t="s">
        <v>1618</v>
      </c>
      <c r="K242" s="2" t="s">
        <v>67</v>
      </c>
      <c r="L242" s="7">
        <v>20124999.73</v>
      </c>
      <c r="M242" s="22">
        <v>5000000</v>
      </c>
      <c r="N242" s="23" t="s">
        <v>11</v>
      </c>
      <c r="O242" s="7"/>
      <c r="P242" s="7"/>
      <c r="Q242" s="7"/>
      <c r="R242" s="7"/>
      <c r="S242" s="7">
        <f>M242</f>
        <v>5000000</v>
      </c>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2"/>
      <c r="BQ242" s="8">
        <v>45839</v>
      </c>
      <c r="BR242" s="2"/>
      <c r="BS242" s="2" t="s">
        <v>1780</v>
      </c>
      <c r="BT242" s="14">
        <f t="shared" si="12"/>
        <v>5000000</v>
      </c>
      <c r="BU242" s="2" t="str">
        <f t="shared" si="10"/>
        <v>OK</v>
      </c>
      <c r="BV242" s="13">
        <f t="shared" si="11"/>
        <v>0</v>
      </c>
    </row>
    <row r="243" spans="1:74" s="9" customFormat="1" ht="116.25" customHeight="1" x14ac:dyDescent="0.25">
      <c r="A243" s="2" t="s">
        <v>1282</v>
      </c>
      <c r="B243" s="2" t="s">
        <v>645</v>
      </c>
      <c r="C243" s="2" t="s">
        <v>379</v>
      </c>
      <c r="D243" s="12" t="s">
        <v>646</v>
      </c>
      <c r="E243" s="2" t="s">
        <v>647</v>
      </c>
      <c r="F243" s="2" t="s">
        <v>72</v>
      </c>
      <c r="G243" s="2" t="s">
        <v>1668</v>
      </c>
      <c r="H243" s="2" t="s">
        <v>77</v>
      </c>
      <c r="I243" s="2" t="s">
        <v>1618</v>
      </c>
      <c r="J243" s="2" t="s">
        <v>1618</v>
      </c>
      <c r="K243" s="2" t="s">
        <v>384</v>
      </c>
      <c r="L243" s="22">
        <v>2700000</v>
      </c>
      <c r="M243" s="22">
        <v>2700000</v>
      </c>
      <c r="N243" s="2" t="s">
        <v>381</v>
      </c>
      <c r="O243" s="7"/>
      <c r="P243" s="7">
        <v>2700000</v>
      </c>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2"/>
      <c r="BQ243" s="8">
        <v>45895</v>
      </c>
      <c r="BR243" s="8"/>
      <c r="BS243" s="8" t="s">
        <v>1749</v>
      </c>
      <c r="BT243" s="14">
        <f t="shared" si="12"/>
        <v>2700000</v>
      </c>
      <c r="BU243" s="2" t="str">
        <f t="shared" si="10"/>
        <v>OK</v>
      </c>
      <c r="BV243" s="13">
        <f t="shared" si="11"/>
        <v>0</v>
      </c>
    </row>
    <row r="244" spans="1:74" s="9" customFormat="1" ht="124.5" customHeight="1" x14ac:dyDescent="0.25">
      <c r="A244" s="2" t="s">
        <v>1274</v>
      </c>
      <c r="B244" s="2" t="s">
        <v>648</v>
      </c>
      <c r="C244" s="2" t="s">
        <v>379</v>
      </c>
      <c r="D244" s="12" t="s">
        <v>649</v>
      </c>
      <c r="E244" s="2" t="s">
        <v>650</v>
      </c>
      <c r="F244" s="2" t="s">
        <v>72</v>
      </c>
      <c r="G244" s="2" t="s">
        <v>1668</v>
      </c>
      <c r="H244" s="2" t="s">
        <v>77</v>
      </c>
      <c r="I244" s="2" t="s">
        <v>1618</v>
      </c>
      <c r="J244" s="2" t="s">
        <v>1618</v>
      </c>
      <c r="K244" s="2" t="s">
        <v>384</v>
      </c>
      <c r="L244" s="22">
        <v>4500000</v>
      </c>
      <c r="M244" s="22">
        <v>3000000</v>
      </c>
      <c r="N244" s="2" t="s">
        <v>381</v>
      </c>
      <c r="O244" s="7"/>
      <c r="P244" s="7">
        <v>3000000</v>
      </c>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2"/>
      <c r="BQ244" s="8">
        <v>45923</v>
      </c>
      <c r="BR244" s="8"/>
      <c r="BS244" s="2" t="s">
        <v>1749</v>
      </c>
      <c r="BT244" s="14">
        <f t="shared" si="12"/>
        <v>3000000</v>
      </c>
      <c r="BU244" s="2" t="str">
        <f t="shared" si="10"/>
        <v>OK</v>
      </c>
      <c r="BV244" s="13">
        <f t="shared" si="11"/>
        <v>0</v>
      </c>
    </row>
    <row r="245" spans="1:74" s="9" customFormat="1" ht="56.25" x14ac:dyDescent="0.25">
      <c r="A245" s="2" t="s">
        <v>1291</v>
      </c>
      <c r="B245" s="2" t="s">
        <v>418</v>
      </c>
      <c r="C245" s="2" t="s">
        <v>379</v>
      </c>
      <c r="D245" s="12" t="s">
        <v>419</v>
      </c>
      <c r="E245" s="2" t="s">
        <v>420</v>
      </c>
      <c r="F245" s="2" t="s">
        <v>72</v>
      </c>
      <c r="G245" s="2" t="s">
        <v>1668</v>
      </c>
      <c r="H245" s="2" t="s">
        <v>77</v>
      </c>
      <c r="I245" s="2" t="s">
        <v>1618</v>
      </c>
      <c r="J245" s="2" t="s">
        <v>1618</v>
      </c>
      <c r="K245" s="2" t="s">
        <v>384</v>
      </c>
      <c r="L245" s="22">
        <v>2000000</v>
      </c>
      <c r="M245" s="22">
        <v>2000000</v>
      </c>
      <c r="N245" s="2" t="s">
        <v>398</v>
      </c>
      <c r="O245" s="7"/>
      <c r="P245" s="7"/>
      <c r="Q245" s="7"/>
      <c r="R245" s="7"/>
      <c r="S245" s="7"/>
      <c r="T245" s="7"/>
      <c r="U245" s="7"/>
      <c r="V245" s="7"/>
      <c r="W245" s="7"/>
      <c r="X245" s="7"/>
      <c r="Y245" s="7"/>
      <c r="Z245" s="7"/>
      <c r="AA245" s="7"/>
      <c r="AB245" s="7"/>
      <c r="AC245" s="7"/>
      <c r="AD245" s="7"/>
      <c r="AE245" s="7"/>
      <c r="AF245" s="7">
        <f>M245</f>
        <v>2000000</v>
      </c>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2"/>
      <c r="BQ245" s="8">
        <v>45925</v>
      </c>
      <c r="BR245" s="8"/>
      <c r="BS245" s="2" t="s">
        <v>1744</v>
      </c>
      <c r="BT245" s="14">
        <f t="shared" si="12"/>
        <v>2000000</v>
      </c>
      <c r="BU245" s="2" t="str">
        <f t="shared" si="10"/>
        <v>OK</v>
      </c>
      <c r="BV245" s="13">
        <f t="shared" si="11"/>
        <v>0</v>
      </c>
    </row>
    <row r="246" spans="1:74" s="9" customFormat="1" ht="67.5" hidden="1" x14ac:dyDescent="0.25">
      <c r="A246" s="24" t="s">
        <v>1377</v>
      </c>
      <c r="B246" s="24" t="s">
        <v>590</v>
      </c>
      <c r="C246" s="24" t="s">
        <v>591</v>
      </c>
      <c r="D246" s="69" t="s">
        <v>592</v>
      </c>
      <c r="E246" s="2"/>
      <c r="F246" s="24" t="s">
        <v>1691</v>
      </c>
      <c r="G246" s="24" t="s">
        <v>1659</v>
      </c>
      <c r="H246" s="24" t="s">
        <v>66</v>
      </c>
      <c r="I246" s="24" t="s">
        <v>1618</v>
      </c>
      <c r="J246" s="24" t="s">
        <v>1614</v>
      </c>
      <c r="K246" s="24" t="s">
        <v>67</v>
      </c>
      <c r="L246" s="70">
        <v>4300933.95</v>
      </c>
      <c r="M246" s="70">
        <v>4300933.95</v>
      </c>
      <c r="N246" s="24" t="s">
        <v>41</v>
      </c>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v>4300933.95</v>
      </c>
      <c r="AX246" s="7"/>
      <c r="AY246" s="7"/>
      <c r="AZ246" s="7"/>
      <c r="BA246" s="7"/>
      <c r="BB246" s="7"/>
      <c r="BC246" s="7"/>
      <c r="BD246" s="7"/>
      <c r="BE246" s="7"/>
      <c r="BF246" s="7"/>
      <c r="BG246" s="7"/>
      <c r="BH246" s="7"/>
      <c r="BI246" s="7"/>
      <c r="BJ246" s="7"/>
      <c r="BK246" s="7"/>
      <c r="BL246" s="7"/>
      <c r="BM246" s="7"/>
      <c r="BN246" s="7"/>
      <c r="BO246" s="7"/>
      <c r="BP246" s="8">
        <v>45961</v>
      </c>
      <c r="BQ246" s="24"/>
      <c r="BR246" s="2" t="s">
        <v>1801</v>
      </c>
      <c r="BS246" s="72"/>
      <c r="BT246" s="14">
        <f t="shared" si="12"/>
        <v>4300933.95</v>
      </c>
      <c r="BU246" s="2" t="str">
        <f t="shared" si="10"/>
        <v>OK</v>
      </c>
      <c r="BV246" s="13">
        <f t="shared" si="11"/>
        <v>0</v>
      </c>
    </row>
    <row r="247" spans="1:74" s="9" customFormat="1" ht="126" customHeight="1" x14ac:dyDescent="0.25">
      <c r="A247" s="2" t="s">
        <v>1273</v>
      </c>
      <c r="B247" s="2" t="s">
        <v>424</v>
      </c>
      <c r="C247" s="2" t="s">
        <v>379</v>
      </c>
      <c r="D247" s="12" t="s">
        <v>425</v>
      </c>
      <c r="E247" s="2" t="s">
        <v>426</v>
      </c>
      <c r="F247" s="2" t="s">
        <v>72</v>
      </c>
      <c r="G247" s="2" t="s">
        <v>1668</v>
      </c>
      <c r="H247" s="2" t="s">
        <v>77</v>
      </c>
      <c r="I247" s="2" t="s">
        <v>1618</v>
      </c>
      <c r="J247" s="2" t="s">
        <v>1618</v>
      </c>
      <c r="K247" s="2" t="s">
        <v>384</v>
      </c>
      <c r="L247" s="22">
        <v>4500000</v>
      </c>
      <c r="M247" s="22">
        <v>3500000</v>
      </c>
      <c r="N247" s="2" t="s">
        <v>381</v>
      </c>
      <c r="O247" s="7"/>
      <c r="P247" s="7">
        <v>3500000</v>
      </c>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2"/>
      <c r="BQ247" s="8">
        <v>45951</v>
      </c>
      <c r="BR247" s="8"/>
      <c r="BS247" s="2" t="s">
        <v>1744</v>
      </c>
      <c r="BT247" s="14">
        <f t="shared" si="12"/>
        <v>3500000</v>
      </c>
      <c r="BU247" s="2" t="str">
        <f t="shared" si="10"/>
        <v>OK</v>
      </c>
      <c r="BV247" s="13">
        <f t="shared" si="11"/>
        <v>0</v>
      </c>
    </row>
    <row r="248" spans="1:74" s="9" customFormat="1" ht="117" customHeight="1" x14ac:dyDescent="0.25">
      <c r="A248" s="2" t="s">
        <v>1281</v>
      </c>
      <c r="B248" s="2" t="s">
        <v>462</v>
      </c>
      <c r="C248" s="2" t="s">
        <v>379</v>
      </c>
      <c r="D248" s="12" t="s">
        <v>463</v>
      </c>
      <c r="E248" s="2" t="s">
        <v>464</v>
      </c>
      <c r="F248" s="2" t="s">
        <v>72</v>
      </c>
      <c r="G248" s="2" t="s">
        <v>1668</v>
      </c>
      <c r="H248" s="2" t="s">
        <v>77</v>
      </c>
      <c r="I248" s="2" t="s">
        <v>1618</v>
      </c>
      <c r="J248" s="2" t="s">
        <v>1618</v>
      </c>
      <c r="K248" s="2" t="s">
        <v>384</v>
      </c>
      <c r="L248" s="22">
        <v>2900000</v>
      </c>
      <c r="M248" s="22">
        <v>2900000</v>
      </c>
      <c r="N248" s="2" t="s">
        <v>381</v>
      </c>
      <c r="O248" s="7"/>
      <c r="P248" s="7">
        <v>2900000</v>
      </c>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2"/>
      <c r="BQ248" s="8">
        <v>45958</v>
      </c>
      <c r="BR248" s="8"/>
      <c r="BS248" s="2" t="s">
        <v>1746</v>
      </c>
      <c r="BT248" s="14">
        <f t="shared" si="12"/>
        <v>2900000</v>
      </c>
      <c r="BU248" s="2" t="str">
        <f t="shared" si="10"/>
        <v>OK</v>
      </c>
      <c r="BV248" s="13">
        <f t="shared" si="11"/>
        <v>0</v>
      </c>
    </row>
    <row r="249" spans="1:74" s="9" customFormat="1" ht="117.75" customHeight="1" x14ac:dyDescent="0.25">
      <c r="A249" s="2" t="s">
        <v>1287</v>
      </c>
      <c r="B249" s="2" t="s">
        <v>468</v>
      </c>
      <c r="C249" s="2" t="s">
        <v>379</v>
      </c>
      <c r="D249" s="12" t="s">
        <v>469</v>
      </c>
      <c r="E249" s="2" t="s">
        <v>470</v>
      </c>
      <c r="F249" s="2" t="s">
        <v>72</v>
      </c>
      <c r="G249" s="2" t="s">
        <v>1668</v>
      </c>
      <c r="H249" s="2" t="s">
        <v>77</v>
      </c>
      <c r="I249" s="2" t="s">
        <v>1618</v>
      </c>
      <c r="J249" s="2" t="s">
        <v>1618</v>
      </c>
      <c r="K249" s="2" t="s">
        <v>384</v>
      </c>
      <c r="L249" s="22">
        <v>2500000</v>
      </c>
      <c r="M249" s="22">
        <v>2500000</v>
      </c>
      <c r="N249" s="2" t="s">
        <v>381</v>
      </c>
      <c r="O249" s="7"/>
      <c r="P249" s="7">
        <v>2500000</v>
      </c>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2"/>
      <c r="BQ249" s="8">
        <v>45964</v>
      </c>
      <c r="BR249" s="8"/>
      <c r="BS249" s="2" t="s">
        <v>1744</v>
      </c>
      <c r="BT249" s="14">
        <f t="shared" si="12"/>
        <v>2500000</v>
      </c>
      <c r="BU249" s="2" t="str">
        <f t="shared" si="10"/>
        <v>OK</v>
      </c>
      <c r="BV249" s="13">
        <f t="shared" si="11"/>
        <v>0</v>
      </c>
    </row>
    <row r="250" spans="1:74" s="9" customFormat="1" ht="45" x14ac:dyDescent="0.25">
      <c r="A250" s="2" t="s">
        <v>1275</v>
      </c>
      <c r="B250" s="2" t="s">
        <v>439</v>
      </c>
      <c r="C250" s="2" t="s">
        <v>379</v>
      </c>
      <c r="D250" s="12" t="s">
        <v>440</v>
      </c>
      <c r="E250" s="2" t="s">
        <v>438</v>
      </c>
      <c r="F250" s="2" t="s">
        <v>72</v>
      </c>
      <c r="G250" s="2" t="s">
        <v>1668</v>
      </c>
      <c r="H250" s="2" t="s">
        <v>77</v>
      </c>
      <c r="I250" s="2" t="s">
        <v>1618</v>
      </c>
      <c r="J250" s="2" t="s">
        <v>1618</v>
      </c>
      <c r="K250" s="2" t="s">
        <v>384</v>
      </c>
      <c r="L250" s="22">
        <v>4000000</v>
      </c>
      <c r="M250" s="22">
        <v>4000000</v>
      </c>
      <c r="N250" s="2" t="s">
        <v>11</v>
      </c>
      <c r="O250" s="7"/>
      <c r="P250" s="7"/>
      <c r="Q250" s="7"/>
      <c r="R250" s="7"/>
      <c r="S250" s="7">
        <f>M250</f>
        <v>4000000</v>
      </c>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2"/>
      <c r="BQ250" s="8">
        <v>45971</v>
      </c>
      <c r="BR250" s="8"/>
      <c r="BS250" s="2" t="s">
        <v>1744</v>
      </c>
      <c r="BT250" s="14">
        <f t="shared" si="12"/>
        <v>4000000</v>
      </c>
      <c r="BU250" s="2" t="str">
        <f t="shared" si="10"/>
        <v>OK</v>
      </c>
      <c r="BV250" s="13">
        <f t="shared" si="11"/>
        <v>0</v>
      </c>
    </row>
    <row r="251" spans="1:74" s="9" customFormat="1" ht="90" hidden="1" x14ac:dyDescent="0.25">
      <c r="A251" s="38" t="s">
        <v>1217</v>
      </c>
      <c r="B251" s="2" t="s">
        <v>273</v>
      </c>
      <c r="C251" s="38" t="s">
        <v>274</v>
      </c>
      <c r="D251" s="47" t="s">
        <v>275</v>
      </c>
      <c r="E251" s="2"/>
      <c r="F251" s="38" t="s">
        <v>72</v>
      </c>
      <c r="G251" s="38" t="s">
        <v>1659</v>
      </c>
      <c r="H251" s="38" t="s">
        <v>66</v>
      </c>
      <c r="I251" s="38" t="s">
        <v>5</v>
      </c>
      <c r="J251" s="49" t="s">
        <v>1618</v>
      </c>
      <c r="K251" s="38" t="s">
        <v>67</v>
      </c>
      <c r="L251" s="48">
        <v>1707546.66</v>
      </c>
      <c r="M251" s="48">
        <v>1707546.66</v>
      </c>
      <c r="N251" s="38" t="s">
        <v>40</v>
      </c>
      <c r="O251" s="7">
        <v>0</v>
      </c>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v>1707546.66</v>
      </c>
      <c r="AW251" s="7"/>
      <c r="AX251" s="7"/>
      <c r="AY251" s="7"/>
      <c r="AZ251" s="7"/>
      <c r="BA251" s="7"/>
      <c r="BB251" s="7"/>
      <c r="BC251" s="7"/>
      <c r="BD251" s="7"/>
      <c r="BE251" s="7"/>
      <c r="BF251" s="7"/>
      <c r="BG251" s="7"/>
      <c r="BH251" s="7"/>
      <c r="BI251" s="7"/>
      <c r="BJ251" s="7"/>
      <c r="BK251" s="7"/>
      <c r="BL251" s="7"/>
      <c r="BM251" s="7"/>
      <c r="BN251" s="7"/>
      <c r="BO251" s="7"/>
      <c r="BP251" s="46">
        <v>46023</v>
      </c>
      <c r="BQ251" s="2"/>
      <c r="BR251" s="38" t="s">
        <v>1799</v>
      </c>
      <c r="BS251" s="2"/>
      <c r="BT251" s="14">
        <f t="shared" si="12"/>
        <v>1707546.66</v>
      </c>
      <c r="BU251" s="2" t="str">
        <f t="shared" si="10"/>
        <v>OK</v>
      </c>
      <c r="BV251" s="13">
        <f t="shared" si="11"/>
        <v>0</v>
      </c>
    </row>
    <row r="252" spans="1:74" s="9" customFormat="1" ht="101.25" hidden="1" x14ac:dyDescent="0.25">
      <c r="A252" s="2" t="s">
        <v>1289</v>
      </c>
      <c r="B252" s="2" t="s">
        <v>541</v>
      </c>
      <c r="C252" s="2" t="s">
        <v>379</v>
      </c>
      <c r="D252" s="12" t="s">
        <v>542</v>
      </c>
      <c r="E252" s="2"/>
      <c r="F252" s="2" t="s">
        <v>72</v>
      </c>
      <c r="G252" s="2" t="s">
        <v>1668</v>
      </c>
      <c r="H252" s="2" t="s">
        <v>66</v>
      </c>
      <c r="I252" s="2" t="s">
        <v>686</v>
      </c>
      <c r="J252" s="2" t="s">
        <v>1618</v>
      </c>
      <c r="K252" s="2" t="s">
        <v>384</v>
      </c>
      <c r="L252" s="22">
        <v>11710169.800000001</v>
      </c>
      <c r="M252" s="22">
        <v>460000</v>
      </c>
      <c r="N252" s="2" t="s">
        <v>381</v>
      </c>
      <c r="O252" s="7"/>
      <c r="P252" s="7">
        <f>M252</f>
        <v>460000</v>
      </c>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8">
        <v>45762</v>
      </c>
      <c r="BQ252" s="2"/>
      <c r="BR252" s="2" t="s">
        <v>1803</v>
      </c>
      <c r="BS252" s="2"/>
      <c r="BT252" s="14">
        <f t="shared" si="12"/>
        <v>460000</v>
      </c>
      <c r="BU252" s="2" t="str">
        <f t="shared" si="10"/>
        <v>OK</v>
      </c>
      <c r="BV252" s="13">
        <f t="shared" si="11"/>
        <v>0</v>
      </c>
    </row>
    <row r="253" spans="1:74" s="9" customFormat="1" ht="90" hidden="1" x14ac:dyDescent="0.25">
      <c r="A253" s="2" t="s">
        <v>1295</v>
      </c>
      <c r="B253" s="2" t="s">
        <v>507</v>
      </c>
      <c r="C253" s="2" t="s">
        <v>379</v>
      </c>
      <c r="D253" s="12" t="s">
        <v>508</v>
      </c>
      <c r="E253" s="2"/>
      <c r="F253" s="2" t="s">
        <v>72</v>
      </c>
      <c r="G253" s="2" t="s">
        <v>1668</v>
      </c>
      <c r="H253" s="2" t="s">
        <v>66</v>
      </c>
      <c r="I253" s="2" t="s">
        <v>686</v>
      </c>
      <c r="J253" s="2" t="s">
        <v>1618</v>
      </c>
      <c r="K253" s="2" t="s">
        <v>384</v>
      </c>
      <c r="L253" s="22">
        <v>10786211.4</v>
      </c>
      <c r="M253" s="22">
        <v>100000</v>
      </c>
      <c r="N253" s="2" t="s">
        <v>398</v>
      </c>
      <c r="O253" s="7"/>
      <c r="P253" s="7"/>
      <c r="Q253" s="7"/>
      <c r="R253" s="7"/>
      <c r="S253" s="7"/>
      <c r="T253" s="7"/>
      <c r="U253" s="7"/>
      <c r="V253" s="7"/>
      <c r="W253" s="7"/>
      <c r="X253" s="7"/>
      <c r="Y253" s="7"/>
      <c r="Z253" s="7"/>
      <c r="AA253" s="7"/>
      <c r="AB253" s="7"/>
      <c r="AC253" s="7"/>
      <c r="AD253" s="7"/>
      <c r="AE253" s="7"/>
      <c r="AF253" s="7">
        <f>M253</f>
        <v>100000</v>
      </c>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8">
        <v>45777</v>
      </c>
      <c r="BQ253" s="2"/>
      <c r="BR253" s="2" t="s">
        <v>1803</v>
      </c>
      <c r="BS253" s="2"/>
      <c r="BT253" s="14">
        <f t="shared" si="12"/>
        <v>100000</v>
      </c>
      <c r="BU253" s="2" t="str">
        <f t="shared" si="10"/>
        <v>OK</v>
      </c>
      <c r="BV253" s="13">
        <f t="shared" si="11"/>
        <v>0</v>
      </c>
    </row>
    <row r="254" spans="1:74" s="9" customFormat="1" ht="101.25" hidden="1" x14ac:dyDescent="0.25">
      <c r="A254" s="2" t="s">
        <v>1297</v>
      </c>
      <c r="B254" s="2" t="s">
        <v>533</v>
      </c>
      <c r="C254" s="2" t="s">
        <v>379</v>
      </c>
      <c r="D254" s="12" t="s">
        <v>534</v>
      </c>
      <c r="E254" s="2"/>
      <c r="F254" s="2" t="s">
        <v>72</v>
      </c>
      <c r="G254" s="2" t="s">
        <v>1668</v>
      </c>
      <c r="H254" s="2" t="s">
        <v>66</v>
      </c>
      <c r="I254" s="2" t="s">
        <v>686</v>
      </c>
      <c r="J254" s="2" t="s">
        <v>1618</v>
      </c>
      <c r="K254" s="2" t="s">
        <v>384</v>
      </c>
      <c r="L254" s="22">
        <v>8698852.2699999996</v>
      </c>
      <c r="M254" s="22">
        <v>1000000</v>
      </c>
      <c r="N254" s="2" t="s">
        <v>381</v>
      </c>
      <c r="O254" s="7"/>
      <c r="P254" s="7">
        <f>M254</f>
        <v>1000000</v>
      </c>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8">
        <v>45777</v>
      </c>
      <c r="BQ254" s="2"/>
      <c r="BR254" s="2" t="s">
        <v>1803</v>
      </c>
      <c r="BS254" s="2"/>
      <c r="BT254" s="14">
        <f t="shared" si="12"/>
        <v>1000000</v>
      </c>
      <c r="BU254" s="2" t="str">
        <f t="shared" si="10"/>
        <v>OK</v>
      </c>
      <c r="BV254" s="13">
        <f t="shared" si="11"/>
        <v>0</v>
      </c>
    </row>
    <row r="255" spans="1:74" s="9" customFormat="1" ht="101.25" hidden="1" x14ac:dyDescent="0.25">
      <c r="A255" s="2" t="s">
        <v>1299</v>
      </c>
      <c r="B255" s="2" t="s">
        <v>511</v>
      </c>
      <c r="C255" s="2" t="s">
        <v>379</v>
      </c>
      <c r="D255" s="12" t="s">
        <v>1814</v>
      </c>
      <c r="E255" s="2"/>
      <c r="F255" s="2" t="s">
        <v>72</v>
      </c>
      <c r="G255" s="2" t="s">
        <v>1668</v>
      </c>
      <c r="H255" s="2" t="s">
        <v>66</v>
      </c>
      <c r="I255" s="2" t="s">
        <v>686</v>
      </c>
      <c r="J255" s="2" t="s">
        <v>1618</v>
      </c>
      <c r="K255" s="2" t="s">
        <v>384</v>
      </c>
      <c r="L255" s="22">
        <v>3501637.14</v>
      </c>
      <c r="M255" s="22">
        <v>1500000</v>
      </c>
      <c r="N255" s="2" t="s">
        <v>381</v>
      </c>
      <c r="O255" s="7"/>
      <c r="P255" s="7">
        <f>M255</f>
        <v>1500000</v>
      </c>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8">
        <v>45777</v>
      </c>
      <c r="BQ255" s="2"/>
      <c r="BR255" s="2" t="s">
        <v>1803</v>
      </c>
      <c r="BS255" s="8" t="s">
        <v>1733</v>
      </c>
      <c r="BT255" s="14">
        <f t="shared" si="12"/>
        <v>1500000</v>
      </c>
      <c r="BU255" s="2" t="str">
        <f t="shared" si="10"/>
        <v>OK</v>
      </c>
      <c r="BV255" s="13">
        <f t="shared" si="11"/>
        <v>0</v>
      </c>
    </row>
    <row r="256" spans="1:74" s="9" customFormat="1" ht="101.25" hidden="1" x14ac:dyDescent="0.25">
      <c r="A256" s="2" t="s">
        <v>1308</v>
      </c>
      <c r="B256" s="2" t="s">
        <v>518</v>
      </c>
      <c r="C256" s="2" t="s">
        <v>379</v>
      </c>
      <c r="D256" s="12" t="s">
        <v>519</v>
      </c>
      <c r="E256" s="2"/>
      <c r="F256" s="2" t="s">
        <v>72</v>
      </c>
      <c r="G256" s="2" t="s">
        <v>1668</v>
      </c>
      <c r="H256" s="2" t="s">
        <v>66</v>
      </c>
      <c r="I256" s="2" t="s">
        <v>686</v>
      </c>
      <c r="J256" s="2" t="s">
        <v>1618</v>
      </c>
      <c r="K256" s="2" t="s">
        <v>384</v>
      </c>
      <c r="L256" s="22">
        <v>6998970.6500000004</v>
      </c>
      <c r="M256" s="22">
        <v>100000</v>
      </c>
      <c r="N256" s="2" t="s">
        <v>381</v>
      </c>
      <c r="O256" s="7"/>
      <c r="P256" s="7">
        <f>M256</f>
        <v>100000</v>
      </c>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8">
        <v>45783</v>
      </c>
      <c r="BQ256" s="2"/>
      <c r="BR256" s="2" t="s">
        <v>1803</v>
      </c>
      <c r="BS256" s="2"/>
      <c r="BT256" s="14">
        <f t="shared" si="12"/>
        <v>100000</v>
      </c>
      <c r="BU256" s="2" t="str">
        <f t="shared" si="10"/>
        <v>OK</v>
      </c>
      <c r="BV256" s="13">
        <f t="shared" si="11"/>
        <v>0</v>
      </c>
    </row>
    <row r="257" spans="1:74" s="9" customFormat="1" ht="101.25" hidden="1" x14ac:dyDescent="0.25">
      <c r="A257" s="24" t="s">
        <v>1293</v>
      </c>
      <c r="B257" s="24" t="s">
        <v>527</v>
      </c>
      <c r="C257" s="24" t="s">
        <v>379</v>
      </c>
      <c r="D257" s="69" t="s">
        <v>528</v>
      </c>
      <c r="E257" s="2"/>
      <c r="F257" s="24" t="s">
        <v>72</v>
      </c>
      <c r="G257" s="24" t="s">
        <v>1668</v>
      </c>
      <c r="H257" s="24" t="s">
        <v>66</v>
      </c>
      <c r="I257" s="24" t="s">
        <v>686</v>
      </c>
      <c r="J257" s="24" t="s">
        <v>1618</v>
      </c>
      <c r="K257" s="24" t="s">
        <v>384</v>
      </c>
      <c r="L257" s="70">
        <v>13956760.83</v>
      </c>
      <c r="M257" s="70">
        <v>100000</v>
      </c>
      <c r="N257" s="24" t="s">
        <v>381</v>
      </c>
      <c r="O257" s="7"/>
      <c r="P257" s="7">
        <f>M257</f>
        <v>100000</v>
      </c>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8">
        <v>45807</v>
      </c>
      <c r="BQ257" s="24"/>
      <c r="BR257" s="2" t="s">
        <v>1803</v>
      </c>
      <c r="BS257" s="24"/>
      <c r="BT257" s="14">
        <f t="shared" si="12"/>
        <v>100000</v>
      </c>
      <c r="BU257" s="2" t="str">
        <f t="shared" si="10"/>
        <v>OK</v>
      </c>
      <c r="BV257" s="13">
        <f t="shared" si="11"/>
        <v>0</v>
      </c>
    </row>
    <row r="258" spans="1:74" s="9" customFormat="1" ht="135.75" customHeight="1" x14ac:dyDescent="0.25">
      <c r="A258" s="2" t="s">
        <v>1276</v>
      </c>
      <c r="B258" s="2" t="s">
        <v>657</v>
      </c>
      <c r="C258" s="2" t="s">
        <v>379</v>
      </c>
      <c r="D258" s="12" t="s">
        <v>658</v>
      </c>
      <c r="E258" s="2" t="s">
        <v>659</v>
      </c>
      <c r="F258" s="2" t="s">
        <v>72</v>
      </c>
      <c r="G258" s="2" t="s">
        <v>1668</v>
      </c>
      <c r="H258" s="2" t="s">
        <v>77</v>
      </c>
      <c r="I258" s="2" t="s">
        <v>1618</v>
      </c>
      <c r="J258" s="2" t="s">
        <v>1618</v>
      </c>
      <c r="K258" s="2" t="s">
        <v>384</v>
      </c>
      <c r="L258" s="22">
        <v>4000000</v>
      </c>
      <c r="M258" s="22">
        <v>3000000</v>
      </c>
      <c r="N258" s="2" t="s">
        <v>381</v>
      </c>
      <c r="O258" s="7"/>
      <c r="P258" s="30">
        <v>3000000</v>
      </c>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2"/>
      <c r="BQ258" s="8">
        <v>46101</v>
      </c>
      <c r="BR258" s="8"/>
      <c r="BS258" s="2" t="s">
        <v>1749</v>
      </c>
      <c r="BT258" s="14">
        <f t="shared" si="12"/>
        <v>3000000</v>
      </c>
      <c r="BU258" s="2" t="str">
        <f t="shared" si="10"/>
        <v>OK</v>
      </c>
      <c r="BV258" s="13">
        <f t="shared" si="11"/>
        <v>0</v>
      </c>
    </row>
    <row r="259" spans="1:74" s="9" customFormat="1" ht="101.25" hidden="1" x14ac:dyDescent="0.25">
      <c r="A259" s="2" t="s">
        <v>1298</v>
      </c>
      <c r="B259" s="2" t="s">
        <v>514</v>
      </c>
      <c r="C259" s="2" t="s">
        <v>379</v>
      </c>
      <c r="D259" s="12" t="s">
        <v>515</v>
      </c>
      <c r="E259" s="2"/>
      <c r="F259" s="2" t="s">
        <v>72</v>
      </c>
      <c r="G259" s="2" t="s">
        <v>1668</v>
      </c>
      <c r="H259" s="2" t="s">
        <v>66</v>
      </c>
      <c r="I259" s="2" t="s">
        <v>686</v>
      </c>
      <c r="J259" s="2" t="s">
        <v>1618</v>
      </c>
      <c r="K259" s="2" t="s">
        <v>384</v>
      </c>
      <c r="L259" s="22">
        <v>6537298.7800000003</v>
      </c>
      <c r="M259" s="22">
        <v>100000</v>
      </c>
      <c r="N259" s="2" t="s">
        <v>381</v>
      </c>
      <c r="O259" s="7"/>
      <c r="P259" s="7">
        <f>M259</f>
        <v>100000</v>
      </c>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8">
        <v>45807</v>
      </c>
      <c r="BQ259" s="2"/>
      <c r="BR259" s="2" t="s">
        <v>1803</v>
      </c>
      <c r="BS259" s="2"/>
      <c r="BT259" s="14">
        <f t="shared" si="12"/>
        <v>100000</v>
      </c>
      <c r="BU259" s="2" t="str">
        <f t="shared" si="10"/>
        <v>OK</v>
      </c>
      <c r="BV259" s="13">
        <f t="shared" si="11"/>
        <v>0</v>
      </c>
    </row>
    <row r="260" spans="1:74" s="9" customFormat="1" ht="78.75" hidden="1" x14ac:dyDescent="0.25">
      <c r="A260" s="2" t="s">
        <v>1307</v>
      </c>
      <c r="B260" s="2" t="s">
        <v>491</v>
      </c>
      <c r="C260" s="2" t="s">
        <v>379</v>
      </c>
      <c r="D260" s="12" t="s">
        <v>492</v>
      </c>
      <c r="E260" s="2"/>
      <c r="F260" s="2" t="s">
        <v>72</v>
      </c>
      <c r="G260" s="2" t="s">
        <v>1668</v>
      </c>
      <c r="H260" s="2" t="s">
        <v>66</v>
      </c>
      <c r="I260" s="2" t="s">
        <v>686</v>
      </c>
      <c r="J260" s="2" t="s">
        <v>1618</v>
      </c>
      <c r="K260" s="2" t="s">
        <v>384</v>
      </c>
      <c r="L260" s="22">
        <v>12548918.970000001</v>
      </c>
      <c r="M260" s="22">
        <v>1000000</v>
      </c>
      <c r="N260" s="2" t="s">
        <v>398</v>
      </c>
      <c r="O260" s="7"/>
      <c r="P260" s="7"/>
      <c r="Q260" s="7"/>
      <c r="R260" s="7"/>
      <c r="S260" s="7"/>
      <c r="T260" s="7"/>
      <c r="U260" s="7"/>
      <c r="V260" s="7"/>
      <c r="W260" s="7"/>
      <c r="X260" s="7"/>
      <c r="Y260" s="7"/>
      <c r="Z260" s="7"/>
      <c r="AA260" s="7"/>
      <c r="AB260" s="7"/>
      <c r="AC260" s="7"/>
      <c r="AD260" s="7"/>
      <c r="AE260" s="7"/>
      <c r="AF260" s="7">
        <f>M260</f>
        <v>1000000</v>
      </c>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8">
        <v>45838</v>
      </c>
      <c r="BQ260" s="2"/>
      <c r="BR260" s="2" t="s">
        <v>1803</v>
      </c>
      <c r="BS260" s="2"/>
      <c r="BT260" s="14">
        <f t="shared" si="12"/>
        <v>1000000</v>
      </c>
      <c r="BU260" s="2" t="str">
        <f t="shared" si="10"/>
        <v>OK</v>
      </c>
      <c r="BV260" s="13">
        <f t="shared" si="11"/>
        <v>0</v>
      </c>
    </row>
    <row r="261" spans="1:74" s="9" customFormat="1" ht="27" hidden="1" customHeight="1" x14ac:dyDescent="0.25">
      <c r="A261" s="2" t="s">
        <v>1317</v>
      </c>
      <c r="B261" s="2" t="s">
        <v>516</v>
      </c>
      <c r="C261" s="2" t="s">
        <v>379</v>
      </c>
      <c r="D261" s="12" t="s">
        <v>517</v>
      </c>
      <c r="E261" s="2"/>
      <c r="F261" s="2" t="s">
        <v>72</v>
      </c>
      <c r="G261" s="2" t="s">
        <v>1668</v>
      </c>
      <c r="H261" s="2" t="s">
        <v>66</v>
      </c>
      <c r="I261" s="2" t="s">
        <v>686</v>
      </c>
      <c r="J261" s="2" t="s">
        <v>1618</v>
      </c>
      <c r="K261" s="2" t="s">
        <v>384</v>
      </c>
      <c r="L261" s="22">
        <v>740997.23</v>
      </c>
      <c r="M261" s="22">
        <v>740997.23</v>
      </c>
      <c r="N261" s="2" t="s">
        <v>381</v>
      </c>
      <c r="O261" s="7"/>
      <c r="P261" s="7">
        <f>M261</f>
        <v>740997.23</v>
      </c>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8">
        <v>45838</v>
      </c>
      <c r="BQ261" s="2"/>
      <c r="BR261" s="2" t="s">
        <v>1803</v>
      </c>
      <c r="BS261" s="2"/>
      <c r="BT261" s="14">
        <f t="shared" si="12"/>
        <v>740997.23</v>
      </c>
      <c r="BU261" s="2" t="str">
        <f t="shared" ref="BU261:BU324" si="13">IF(M261=BT261,"OK","CORRIGIR")</f>
        <v>OK</v>
      </c>
      <c r="BV261" s="13">
        <f t="shared" ref="BV261:BV324" si="14">M261-BT261</f>
        <v>0</v>
      </c>
    </row>
    <row r="262" spans="1:74" s="9" customFormat="1" ht="44.25" hidden="1" customHeight="1" x14ac:dyDescent="0.25">
      <c r="A262" s="24" t="s">
        <v>1318</v>
      </c>
      <c r="B262" s="24" t="s">
        <v>505</v>
      </c>
      <c r="C262" s="24" t="s">
        <v>379</v>
      </c>
      <c r="D262" s="69" t="s">
        <v>506</v>
      </c>
      <c r="E262" s="2"/>
      <c r="F262" s="24" t="s">
        <v>72</v>
      </c>
      <c r="G262" s="24" t="s">
        <v>1668</v>
      </c>
      <c r="H262" s="24" t="s">
        <v>66</v>
      </c>
      <c r="I262" s="24" t="s">
        <v>686</v>
      </c>
      <c r="J262" s="24" t="s">
        <v>1618</v>
      </c>
      <c r="K262" s="24" t="s">
        <v>384</v>
      </c>
      <c r="L262" s="70">
        <v>691151.09</v>
      </c>
      <c r="M262" s="70">
        <v>100000</v>
      </c>
      <c r="N262" s="24" t="s">
        <v>398</v>
      </c>
      <c r="O262" s="7"/>
      <c r="P262" s="7"/>
      <c r="Q262" s="7"/>
      <c r="R262" s="7"/>
      <c r="S262" s="7"/>
      <c r="T262" s="7"/>
      <c r="U262" s="7"/>
      <c r="V262" s="7"/>
      <c r="W262" s="7"/>
      <c r="X262" s="7"/>
      <c r="Y262" s="7"/>
      <c r="Z262" s="7"/>
      <c r="AA262" s="7"/>
      <c r="AB262" s="7"/>
      <c r="AC262" s="7"/>
      <c r="AD262" s="7"/>
      <c r="AE262" s="7"/>
      <c r="AF262" s="7">
        <f>M262</f>
        <v>100000</v>
      </c>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8">
        <v>45838</v>
      </c>
      <c r="BQ262" s="24"/>
      <c r="BR262" s="2" t="s">
        <v>1803</v>
      </c>
      <c r="BS262" s="24"/>
      <c r="BT262" s="14">
        <f t="shared" si="12"/>
        <v>100000</v>
      </c>
      <c r="BU262" s="2" t="str">
        <f t="shared" si="13"/>
        <v>OK</v>
      </c>
      <c r="BV262" s="13">
        <f t="shared" si="14"/>
        <v>0</v>
      </c>
    </row>
    <row r="263" spans="1:74" s="9" customFormat="1" ht="123.75" customHeight="1" x14ac:dyDescent="0.25">
      <c r="A263" s="2" t="s">
        <v>1259</v>
      </c>
      <c r="B263" s="2" t="s">
        <v>654</v>
      </c>
      <c r="C263" s="2" t="s">
        <v>379</v>
      </c>
      <c r="D263" s="12" t="s">
        <v>655</v>
      </c>
      <c r="E263" s="2" t="s">
        <v>656</v>
      </c>
      <c r="F263" s="2" t="s">
        <v>72</v>
      </c>
      <c r="G263" s="2" t="s">
        <v>1668</v>
      </c>
      <c r="H263" s="2" t="s">
        <v>77</v>
      </c>
      <c r="I263" s="2" t="s">
        <v>1618</v>
      </c>
      <c r="J263" s="2" t="s">
        <v>1618</v>
      </c>
      <c r="K263" s="2" t="s">
        <v>384</v>
      </c>
      <c r="L263" s="22">
        <v>10000000</v>
      </c>
      <c r="M263" s="22">
        <v>3000000</v>
      </c>
      <c r="N263" s="2" t="s">
        <v>381</v>
      </c>
      <c r="O263" s="7"/>
      <c r="P263" s="7">
        <v>3000000</v>
      </c>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2"/>
      <c r="BQ263" s="8">
        <v>46136</v>
      </c>
      <c r="BR263" s="8"/>
      <c r="BS263" s="2" t="s">
        <v>1749</v>
      </c>
      <c r="BT263" s="14">
        <f t="shared" si="12"/>
        <v>3000000</v>
      </c>
      <c r="BU263" s="2" t="str">
        <f t="shared" si="13"/>
        <v>OK</v>
      </c>
      <c r="BV263" s="13">
        <f t="shared" si="14"/>
        <v>0</v>
      </c>
    </row>
    <row r="264" spans="1:74" s="9" customFormat="1" ht="101.25" hidden="1" x14ac:dyDescent="0.25">
      <c r="A264" s="2" t="s">
        <v>1300</v>
      </c>
      <c r="B264" s="2" t="s">
        <v>498</v>
      </c>
      <c r="C264" s="2" t="s">
        <v>379</v>
      </c>
      <c r="D264" s="12" t="s">
        <v>499</v>
      </c>
      <c r="E264" s="2"/>
      <c r="F264" s="2" t="s">
        <v>72</v>
      </c>
      <c r="G264" s="2" t="s">
        <v>1668</v>
      </c>
      <c r="H264" s="2" t="s">
        <v>66</v>
      </c>
      <c r="I264" s="2" t="s">
        <v>686</v>
      </c>
      <c r="J264" s="2" t="s">
        <v>1618</v>
      </c>
      <c r="K264" s="2" t="s">
        <v>384</v>
      </c>
      <c r="L264" s="22">
        <v>2981314.47</v>
      </c>
      <c r="M264" s="22">
        <v>1000000</v>
      </c>
      <c r="N264" s="2" t="s">
        <v>381</v>
      </c>
      <c r="O264" s="7"/>
      <c r="P264" s="7">
        <v>1000000</v>
      </c>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8">
        <v>45868</v>
      </c>
      <c r="BQ264" s="2"/>
      <c r="BR264" s="2" t="s">
        <v>1803</v>
      </c>
      <c r="BS264" s="2"/>
      <c r="BT264" s="14">
        <f t="shared" si="12"/>
        <v>1000000</v>
      </c>
      <c r="BU264" s="2" t="str">
        <f t="shared" si="13"/>
        <v>OK</v>
      </c>
      <c r="BV264" s="13">
        <f t="shared" si="14"/>
        <v>0</v>
      </c>
    </row>
    <row r="265" spans="1:74" s="9" customFormat="1" ht="42.75" hidden="1" customHeight="1" x14ac:dyDescent="0.25">
      <c r="A265" s="24" t="s">
        <v>1296</v>
      </c>
      <c r="B265" s="24" t="s">
        <v>484</v>
      </c>
      <c r="C265" s="24" t="s">
        <v>379</v>
      </c>
      <c r="D265" s="69" t="s">
        <v>1812</v>
      </c>
      <c r="E265" s="2"/>
      <c r="F265" s="24" t="s">
        <v>72</v>
      </c>
      <c r="G265" s="24" t="s">
        <v>1668</v>
      </c>
      <c r="H265" s="24" t="s">
        <v>66</v>
      </c>
      <c r="I265" s="24" t="s">
        <v>686</v>
      </c>
      <c r="J265" s="24" t="s">
        <v>1618</v>
      </c>
      <c r="K265" s="24" t="s">
        <v>67</v>
      </c>
      <c r="L265" s="70">
        <v>724027.58</v>
      </c>
      <c r="M265" s="70">
        <v>724027.58</v>
      </c>
      <c r="N265" s="24" t="s">
        <v>49</v>
      </c>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v>724027.58</v>
      </c>
      <c r="BF265" s="7"/>
      <c r="BG265" s="7"/>
      <c r="BH265" s="7"/>
      <c r="BI265" s="7"/>
      <c r="BJ265" s="7"/>
      <c r="BK265" s="7"/>
      <c r="BL265" s="7"/>
      <c r="BM265" s="7"/>
      <c r="BN265" s="7"/>
      <c r="BO265" s="7"/>
      <c r="BP265" s="8">
        <v>45868</v>
      </c>
      <c r="BQ265" s="24"/>
      <c r="BR265" s="2" t="s">
        <v>1803</v>
      </c>
      <c r="BS265" s="24"/>
      <c r="BT265" s="14">
        <f t="shared" si="12"/>
        <v>724027.58</v>
      </c>
      <c r="BU265" s="2" t="str">
        <f t="shared" si="13"/>
        <v>OK</v>
      </c>
      <c r="BV265" s="13">
        <f t="shared" si="14"/>
        <v>0</v>
      </c>
    </row>
    <row r="266" spans="1:74" s="9" customFormat="1" ht="121.5" customHeight="1" x14ac:dyDescent="0.25">
      <c r="A266" s="2" t="s">
        <v>1271</v>
      </c>
      <c r="B266" s="2" t="s">
        <v>404</v>
      </c>
      <c r="C266" s="2" t="s">
        <v>379</v>
      </c>
      <c r="D266" s="12" t="s">
        <v>405</v>
      </c>
      <c r="E266" s="2" t="s">
        <v>406</v>
      </c>
      <c r="F266" s="2" t="s">
        <v>72</v>
      </c>
      <c r="G266" s="2" t="s">
        <v>1668</v>
      </c>
      <c r="H266" s="2" t="s">
        <v>77</v>
      </c>
      <c r="I266" s="2" t="s">
        <v>1618</v>
      </c>
      <c r="J266" s="2" t="s">
        <v>1618</v>
      </c>
      <c r="K266" s="2" t="s">
        <v>384</v>
      </c>
      <c r="L266" s="22">
        <v>5500000</v>
      </c>
      <c r="M266" s="22">
        <v>3000000</v>
      </c>
      <c r="N266" s="2" t="s">
        <v>381</v>
      </c>
      <c r="O266" s="7"/>
      <c r="P266" s="7">
        <v>3000000</v>
      </c>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2"/>
      <c r="BQ266" s="8">
        <v>46195</v>
      </c>
      <c r="BR266" s="8"/>
      <c r="BS266" s="2" t="s">
        <v>1744</v>
      </c>
      <c r="BT266" s="14">
        <f t="shared" si="12"/>
        <v>3000000</v>
      </c>
      <c r="BU266" s="2" t="str">
        <f t="shared" si="13"/>
        <v>OK</v>
      </c>
      <c r="BV266" s="13">
        <f t="shared" si="14"/>
        <v>0</v>
      </c>
    </row>
    <row r="267" spans="1:74" s="9" customFormat="1" ht="121.5" customHeight="1" x14ac:dyDescent="0.25">
      <c r="A267" s="2" t="s">
        <v>1265</v>
      </c>
      <c r="B267" s="2" t="s">
        <v>666</v>
      </c>
      <c r="C267" s="2" t="s">
        <v>379</v>
      </c>
      <c r="D267" s="12" t="s">
        <v>667</v>
      </c>
      <c r="E267" s="2" t="s">
        <v>668</v>
      </c>
      <c r="F267" s="2" t="s">
        <v>72</v>
      </c>
      <c r="G267" s="2" t="s">
        <v>1668</v>
      </c>
      <c r="H267" s="2" t="s">
        <v>77</v>
      </c>
      <c r="I267" s="2" t="s">
        <v>1618</v>
      </c>
      <c r="J267" s="2" t="s">
        <v>1618</v>
      </c>
      <c r="K267" s="2" t="s">
        <v>384</v>
      </c>
      <c r="L267" s="22">
        <v>7000000</v>
      </c>
      <c r="M267" s="22">
        <v>3000000</v>
      </c>
      <c r="N267" s="2" t="s">
        <v>381</v>
      </c>
      <c r="O267" s="7"/>
      <c r="P267" s="7">
        <v>3000000</v>
      </c>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2"/>
      <c r="BQ267" s="8">
        <v>46201</v>
      </c>
      <c r="BR267" s="8"/>
      <c r="BS267" s="2" t="s">
        <v>1749</v>
      </c>
      <c r="BT267" s="14">
        <f t="shared" si="12"/>
        <v>3000000</v>
      </c>
      <c r="BU267" s="2" t="str">
        <f t="shared" si="13"/>
        <v>OK</v>
      </c>
      <c r="BV267" s="13">
        <f t="shared" si="14"/>
        <v>0</v>
      </c>
    </row>
    <row r="268" spans="1:74" s="9" customFormat="1" ht="78.75" hidden="1" x14ac:dyDescent="0.25">
      <c r="A268" s="24" t="s">
        <v>1305</v>
      </c>
      <c r="B268" s="24" t="s">
        <v>487</v>
      </c>
      <c r="C268" s="24" t="s">
        <v>379</v>
      </c>
      <c r="D268" s="69" t="s">
        <v>488</v>
      </c>
      <c r="E268" s="2"/>
      <c r="F268" s="24" t="s">
        <v>72</v>
      </c>
      <c r="G268" s="24" t="s">
        <v>1668</v>
      </c>
      <c r="H268" s="24" t="s">
        <v>66</v>
      </c>
      <c r="I268" s="24" t="s">
        <v>686</v>
      </c>
      <c r="J268" s="24" t="s">
        <v>1618</v>
      </c>
      <c r="K268" s="24" t="s">
        <v>384</v>
      </c>
      <c r="L268" s="70">
        <v>1164991.44</v>
      </c>
      <c r="M268" s="70">
        <v>1000000</v>
      </c>
      <c r="N268" s="24" t="s">
        <v>398</v>
      </c>
      <c r="O268" s="7"/>
      <c r="P268" s="7"/>
      <c r="Q268" s="7"/>
      <c r="R268" s="7"/>
      <c r="S268" s="7"/>
      <c r="T268" s="7"/>
      <c r="U268" s="7"/>
      <c r="V268" s="7"/>
      <c r="W268" s="7"/>
      <c r="X268" s="7"/>
      <c r="Y268" s="7"/>
      <c r="Z268" s="7"/>
      <c r="AA268" s="7"/>
      <c r="AB268" s="7"/>
      <c r="AC268" s="7"/>
      <c r="AD268" s="7"/>
      <c r="AE268" s="7"/>
      <c r="AF268" s="7">
        <v>1000000</v>
      </c>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8">
        <v>45930</v>
      </c>
      <c r="BQ268" s="24"/>
      <c r="BR268" s="2" t="s">
        <v>1803</v>
      </c>
      <c r="BS268" s="72" t="s">
        <v>1774</v>
      </c>
      <c r="BT268" s="14">
        <f t="shared" si="12"/>
        <v>1000000</v>
      </c>
      <c r="BU268" s="2" t="str">
        <f t="shared" si="13"/>
        <v>OK</v>
      </c>
      <c r="BV268" s="13">
        <f t="shared" si="14"/>
        <v>0</v>
      </c>
    </row>
    <row r="269" spans="1:74" s="9" customFormat="1" ht="109.5" customHeight="1" x14ac:dyDescent="0.25">
      <c r="A269" s="2" t="s">
        <v>1264</v>
      </c>
      <c r="B269" s="2" t="s">
        <v>400</v>
      </c>
      <c r="C269" s="2" t="s">
        <v>379</v>
      </c>
      <c r="D269" s="12" t="s">
        <v>401</v>
      </c>
      <c r="E269" s="2" t="s">
        <v>402</v>
      </c>
      <c r="F269" s="2" t="s">
        <v>72</v>
      </c>
      <c r="G269" s="2" t="s">
        <v>1668</v>
      </c>
      <c r="H269" s="2" t="s">
        <v>77</v>
      </c>
      <c r="I269" s="2" t="s">
        <v>1618</v>
      </c>
      <c r="J269" s="2" t="s">
        <v>1618</v>
      </c>
      <c r="K269" s="2" t="s">
        <v>384</v>
      </c>
      <c r="L269" s="22">
        <v>8000000</v>
      </c>
      <c r="M269" s="22">
        <v>6000000</v>
      </c>
      <c r="N269" s="2" t="s">
        <v>403</v>
      </c>
      <c r="O269" s="7"/>
      <c r="P269" s="7">
        <v>6000000</v>
      </c>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2"/>
      <c r="BQ269" s="8">
        <v>46210</v>
      </c>
      <c r="BR269" s="8"/>
      <c r="BS269" s="8" t="s">
        <v>1745</v>
      </c>
      <c r="BT269" s="14">
        <f t="shared" ref="BT269:BT332" si="15">SUM(O269:BO269)</f>
        <v>6000000</v>
      </c>
      <c r="BU269" s="2" t="str">
        <f t="shared" si="13"/>
        <v>OK</v>
      </c>
      <c r="BV269" s="13">
        <f t="shared" si="14"/>
        <v>0</v>
      </c>
    </row>
    <row r="270" spans="1:74" s="9" customFormat="1" ht="123.75" customHeight="1" x14ac:dyDescent="0.25">
      <c r="A270" s="2" t="s">
        <v>1262</v>
      </c>
      <c r="B270" s="2" t="s">
        <v>481</v>
      </c>
      <c r="C270" s="2" t="s">
        <v>379</v>
      </c>
      <c r="D270" s="12" t="s">
        <v>482</v>
      </c>
      <c r="E270" s="2" t="s">
        <v>483</v>
      </c>
      <c r="F270" s="2" t="s">
        <v>72</v>
      </c>
      <c r="G270" s="2" t="s">
        <v>1668</v>
      </c>
      <c r="H270" s="2" t="s">
        <v>77</v>
      </c>
      <c r="I270" s="2" t="s">
        <v>1618</v>
      </c>
      <c r="J270" s="2" t="s">
        <v>1618</v>
      </c>
      <c r="K270" s="2" t="s">
        <v>384</v>
      </c>
      <c r="L270" s="22">
        <v>8200000</v>
      </c>
      <c r="M270" s="22">
        <v>4000000</v>
      </c>
      <c r="N270" s="2" t="s">
        <v>381</v>
      </c>
      <c r="O270" s="7"/>
      <c r="P270" s="7">
        <v>4000000</v>
      </c>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2"/>
      <c r="BQ270" s="8">
        <v>46325</v>
      </c>
      <c r="BR270" s="8"/>
      <c r="BS270" s="2" t="s">
        <v>1744</v>
      </c>
      <c r="BT270" s="14">
        <f t="shared" si="15"/>
        <v>4000000</v>
      </c>
      <c r="BU270" s="2" t="str">
        <f t="shared" si="13"/>
        <v>OK</v>
      </c>
      <c r="BV270" s="13">
        <f t="shared" si="14"/>
        <v>0</v>
      </c>
    </row>
    <row r="271" spans="1:74" s="9" customFormat="1" ht="101.25" hidden="1" x14ac:dyDescent="0.25">
      <c r="A271" s="2" t="s">
        <v>1314</v>
      </c>
      <c r="B271" s="2" t="s">
        <v>520</v>
      </c>
      <c r="C271" s="2" t="s">
        <v>379</v>
      </c>
      <c r="D271" s="12" t="s">
        <v>521</v>
      </c>
      <c r="E271" s="2"/>
      <c r="F271" s="2" t="s">
        <v>72</v>
      </c>
      <c r="G271" s="2" t="s">
        <v>1668</v>
      </c>
      <c r="H271" s="2" t="s">
        <v>66</v>
      </c>
      <c r="I271" s="2" t="s">
        <v>686</v>
      </c>
      <c r="J271" s="2" t="s">
        <v>1618</v>
      </c>
      <c r="K271" s="2" t="s">
        <v>384</v>
      </c>
      <c r="L271" s="22">
        <v>1050000</v>
      </c>
      <c r="M271" s="22">
        <v>800000</v>
      </c>
      <c r="N271" s="2" t="s">
        <v>381</v>
      </c>
      <c r="O271" s="7"/>
      <c r="P271" s="7">
        <f>M271</f>
        <v>800000</v>
      </c>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8">
        <v>45930</v>
      </c>
      <c r="BQ271" s="2"/>
      <c r="BR271" s="2" t="s">
        <v>1803</v>
      </c>
      <c r="BS271" s="2"/>
      <c r="BT271" s="14">
        <f t="shared" si="15"/>
        <v>800000</v>
      </c>
      <c r="BU271" s="2" t="str">
        <f t="shared" si="13"/>
        <v>OK</v>
      </c>
      <c r="BV271" s="13">
        <f t="shared" si="14"/>
        <v>0</v>
      </c>
    </row>
    <row r="272" spans="1:74" s="9" customFormat="1" ht="101.25" hidden="1" x14ac:dyDescent="0.25">
      <c r="A272" s="2" t="s">
        <v>1320</v>
      </c>
      <c r="B272" s="2" t="s">
        <v>496</v>
      </c>
      <c r="C272" s="2" t="s">
        <v>379</v>
      </c>
      <c r="D272" s="12" t="s">
        <v>497</v>
      </c>
      <c r="E272" s="2"/>
      <c r="F272" s="2" t="s">
        <v>72</v>
      </c>
      <c r="G272" s="2" t="s">
        <v>1668</v>
      </c>
      <c r="H272" s="2" t="s">
        <v>66</v>
      </c>
      <c r="I272" s="2" t="s">
        <v>686</v>
      </c>
      <c r="J272" s="2" t="s">
        <v>1618</v>
      </c>
      <c r="K272" s="2" t="s">
        <v>384</v>
      </c>
      <c r="L272" s="22">
        <v>9000000</v>
      </c>
      <c r="M272" s="22">
        <v>100000</v>
      </c>
      <c r="N272" s="2" t="s">
        <v>381</v>
      </c>
      <c r="O272" s="7"/>
      <c r="P272" s="7">
        <v>100000</v>
      </c>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8">
        <v>45930</v>
      </c>
      <c r="BQ272" s="2"/>
      <c r="BR272" s="2" t="s">
        <v>1803</v>
      </c>
      <c r="BS272" s="2"/>
      <c r="BT272" s="14">
        <f t="shared" si="15"/>
        <v>100000</v>
      </c>
      <c r="BU272" s="2" t="str">
        <f t="shared" si="13"/>
        <v>OK</v>
      </c>
      <c r="BV272" s="13">
        <f t="shared" si="14"/>
        <v>0</v>
      </c>
    </row>
    <row r="273" spans="1:74" s="9" customFormat="1" ht="101.25" hidden="1" x14ac:dyDescent="0.25">
      <c r="A273" s="2" t="s">
        <v>1310</v>
      </c>
      <c r="B273" s="2" t="s">
        <v>525</v>
      </c>
      <c r="C273" s="2" t="s">
        <v>379</v>
      </c>
      <c r="D273" s="12" t="s">
        <v>526</v>
      </c>
      <c r="E273" s="2"/>
      <c r="F273" s="2" t="s">
        <v>72</v>
      </c>
      <c r="G273" s="2" t="s">
        <v>1668</v>
      </c>
      <c r="H273" s="2" t="s">
        <v>66</v>
      </c>
      <c r="I273" s="2" t="s">
        <v>686</v>
      </c>
      <c r="J273" s="2" t="s">
        <v>1618</v>
      </c>
      <c r="K273" s="2" t="s">
        <v>384</v>
      </c>
      <c r="L273" s="22">
        <v>1050000</v>
      </c>
      <c r="M273" s="22">
        <v>900000</v>
      </c>
      <c r="N273" s="2" t="s">
        <v>381</v>
      </c>
      <c r="O273" s="7"/>
      <c r="P273" s="7">
        <f>M273</f>
        <v>900000</v>
      </c>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8">
        <v>45960</v>
      </c>
      <c r="BQ273" s="2"/>
      <c r="BR273" s="2" t="s">
        <v>1803</v>
      </c>
      <c r="BS273" s="2" t="s">
        <v>1780</v>
      </c>
      <c r="BT273" s="14">
        <f t="shared" si="15"/>
        <v>900000</v>
      </c>
      <c r="BU273" s="2" t="str">
        <f t="shared" si="13"/>
        <v>OK</v>
      </c>
      <c r="BV273" s="13">
        <f t="shared" si="14"/>
        <v>0</v>
      </c>
    </row>
    <row r="274" spans="1:74" s="9" customFormat="1" ht="101.25" hidden="1" x14ac:dyDescent="0.25">
      <c r="A274" s="2" t="s">
        <v>1311</v>
      </c>
      <c r="B274" s="2" t="s">
        <v>543</v>
      </c>
      <c r="C274" s="2" t="s">
        <v>379</v>
      </c>
      <c r="D274" s="12" t="s">
        <v>544</v>
      </c>
      <c r="E274" s="2"/>
      <c r="F274" s="2" t="s">
        <v>72</v>
      </c>
      <c r="G274" s="2" t="s">
        <v>1668</v>
      </c>
      <c r="H274" s="2" t="s">
        <v>66</v>
      </c>
      <c r="I274" s="2" t="s">
        <v>686</v>
      </c>
      <c r="J274" s="2" t="s">
        <v>1618</v>
      </c>
      <c r="K274" s="2" t="s">
        <v>384</v>
      </c>
      <c r="L274" s="22">
        <v>1050000</v>
      </c>
      <c r="M274" s="22">
        <v>900000</v>
      </c>
      <c r="N274" s="2" t="s">
        <v>381</v>
      </c>
      <c r="O274" s="7"/>
      <c r="P274" s="7">
        <f>M274</f>
        <v>900000</v>
      </c>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8">
        <v>45960</v>
      </c>
      <c r="BQ274" s="2"/>
      <c r="BR274" s="2" t="s">
        <v>1803</v>
      </c>
      <c r="BS274" s="15"/>
      <c r="BT274" s="14">
        <f t="shared" si="15"/>
        <v>900000</v>
      </c>
      <c r="BU274" s="2" t="str">
        <f t="shared" si="13"/>
        <v>OK</v>
      </c>
      <c r="BV274" s="13">
        <f t="shared" si="14"/>
        <v>0</v>
      </c>
    </row>
    <row r="275" spans="1:74" s="9" customFormat="1" ht="101.25" hidden="1" x14ac:dyDescent="0.25">
      <c r="A275" s="2" t="s">
        <v>1321</v>
      </c>
      <c r="B275" s="2" t="s">
        <v>524</v>
      </c>
      <c r="C275" s="2" t="s">
        <v>379</v>
      </c>
      <c r="D275" s="12" t="s">
        <v>1829</v>
      </c>
      <c r="E275" s="2"/>
      <c r="F275" s="2" t="s">
        <v>72</v>
      </c>
      <c r="G275" s="2" t="s">
        <v>1668</v>
      </c>
      <c r="H275" s="2" t="s">
        <v>66</v>
      </c>
      <c r="I275" s="2" t="s">
        <v>686</v>
      </c>
      <c r="J275" s="2" t="s">
        <v>1618</v>
      </c>
      <c r="K275" s="2" t="s">
        <v>384</v>
      </c>
      <c r="L275" s="22">
        <v>3000000</v>
      </c>
      <c r="M275" s="22">
        <v>600000</v>
      </c>
      <c r="N275" s="2" t="s">
        <v>381</v>
      </c>
      <c r="O275" s="7"/>
      <c r="P275" s="7">
        <f>M275</f>
        <v>600000</v>
      </c>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8">
        <v>45960</v>
      </c>
      <c r="BQ275" s="2"/>
      <c r="BR275" s="2" t="s">
        <v>1803</v>
      </c>
      <c r="BS275" s="2"/>
      <c r="BT275" s="14">
        <f t="shared" si="15"/>
        <v>600000</v>
      </c>
      <c r="BU275" s="2" t="str">
        <f t="shared" si="13"/>
        <v>OK</v>
      </c>
      <c r="BV275" s="13">
        <f t="shared" si="14"/>
        <v>0</v>
      </c>
    </row>
    <row r="276" spans="1:74" s="9" customFormat="1" ht="101.25" hidden="1" x14ac:dyDescent="0.25">
      <c r="A276" s="2" t="s">
        <v>1325</v>
      </c>
      <c r="B276" s="2" t="s">
        <v>537</v>
      </c>
      <c r="C276" s="2" t="s">
        <v>379</v>
      </c>
      <c r="D276" s="12" t="s">
        <v>1831</v>
      </c>
      <c r="E276" s="2"/>
      <c r="F276" s="2" t="s">
        <v>72</v>
      </c>
      <c r="G276" s="2" t="s">
        <v>1668</v>
      </c>
      <c r="H276" s="2" t="s">
        <v>66</v>
      </c>
      <c r="I276" s="2" t="s">
        <v>686</v>
      </c>
      <c r="J276" s="2" t="s">
        <v>1618</v>
      </c>
      <c r="K276" s="2" t="s">
        <v>384</v>
      </c>
      <c r="L276" s="22">
        <v>1050000</v>
      </c>
      <c r="M276" s="22">
        <v>600000</v>
      </c>
      <c r="N276" s="2" t="s">
        <v>381</v>
      </c>
      <c r="O276" s="7"/>
      <c r="P276" s="7">
        <f>M276</f>
        <v>600000</v>
      </c>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8">
        <v>45960</v>
      </c>
      <c r="BQ276" s="2"/>
      <c r="BR276" s="2" t="s">
        <v>1803</v>
      </c>
      <c r="BS276" s="2"/>
      <c r="BT276" s="14">
        <f t="shared" si="15"/>
        <v>600000</v>
      </c>
      <c r="BU276" s="2" t="str">
        <f t="shared" si="13"/>
        <v>OK</v>
      </c>
      <c r="BV276" s="13">
        <f t="shared" si="14"/>
        <v>0</v>
      </c>
    </row>
    <row r="277" spans="1:74" s="9" customFormat="1" ht="78.75" hidden="1" x14ac:dyDescent="0.25">
      <c r="A277" s="2" t="s">
        <v>1326</v>
      </c>
      <c r="B277" s="2" t="s">
        <v>540</v>
      </c>
      <c r="C277" s="2" t="s">
        <v>379</v>
      </c>
      <c r="D277" s="12" t="s">
        <v>1830</v>
      </c>
      <c r="E277" s="2"/>
      <c r="F277" s="2" t="s">
        <v>72</v>
      </c>
      <c r="G277" s="2" t="s">
        <v>1668</v>
      </c>
      <c r="H277" s="2" t="s">
        <v>66</v>
      </c>
      <c r="I277" s="2" t="s">
        <v>686</v>
      </c>
      <c r="J277" s="2" t="s">
        <v>1618</v>
      </c>
      <c r="K277" s="2" t="s">
        <v>384</v>
      </c>
      <c r="L277" s="22">
        <v>1050000</v>
      </c>
      <c r="M277" s="22">
        <v>600000</v>
      </c>
      <c r="N277" s="2" t="s">
        <v>23</v>
      </c>
      <c r="O277" s="7"/>
      <c r="P277" s="7"/>
      <c r="Q277" s="7"/>
      <c r="R277" s="7"/>
      <c r="S277" s="7"/>
      <c r="T277" s="7"/>
      <c r="U277" s="7"/>
      <c r="V277" s="7"/>
      <c r="W277" s="7"/>
      <c r="X277" s="7"/>
      <c r="Y277" s="7"/>
      <c r="Z277" s="7"/>
      <c r="AA277" s="7"/>
      <c r="AB277" s="7"/>
      <c r="AC277" s="7"/>
      <c r="AD277" s="7"/>
      <c r="AE277" s="7">
        <f>M277</f>
        <v>600000</v>
      </c>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8">
        <v>45960</v>
      </c>
      <c r="BQ277" s="2"/>
      <c r="BR277" s="2" t="s">
        <v>1803</v>
      </c>
      <c r="BS277" s="8"/>
      <c r="BT277" s="14">
        <f t="shared" si="15"/>
        <v>600000</v>
      </c>
      <c r="BU277" s="2" t="str">
        <f t="shared" si="13"/>
        <v>OK</v>
      </c>
      <c r="BV277" s="13">
        <f t="shared" si="14"/>
        <v>0</v>
      </c>
    </row>
    <row r="278" spans="1:74" s="9" customFormat="1" ht="78.75" hidden="1" x14ac:dyDescent="0.25">
      <c r="A278" s="2" t="s">
        <v>1324</v>
      </c>
      <c r="B278" s="2" t="s">
        <v>531</v>
      </c>
      <c r="C278" s="2" t="s">
        <v>379</v>
      </c>
      <c r="D278" s="12" t="s">
        <v>532</v>
      </c>
      <c r="E278" s="2"/>
      <c r="F278" s="2" t="s">
        <v>72</v>
      </c>
      <c r="G278" s="2" t="s">
        <v>1668</v>
      </c>
      <c r="H278" s="2" t="s">
        <v>66</v>
      </c>
      <c r="I278" s="2" t="s">
        <v>686</v>
      </c>
      <c r="J278" s="2" t="s">
        <v>1618</v>
      </c>
      <c r="K278" s="2" t="s">
        <v>384</v>
      </c>
      <c r="L278" s="22">
        <v>1050000</v>
      </c>
      <c r="M278" s="22">
        <v>600000</v>
      </c>
      <c r="N278" s="2" t="s">
        <v>398</v>
      </c>
      <c r="O278" s="7"/>
      <c r="P278" s="7"/>
      <c r="Q278" s="7"/>
      <c r="R278" s="7"/>
      <c r="S278" s="7"/>
      <c r="T278" s="7"/>
      <c r="U278" s="7"/>
      <c r="V278" s="7"/>
      <c r="W278" s="7"/>
      <c r="X278" s="7"/>
      <c r="Y278" s="7"/>
      <c r="Z278" s="7"/>
      <c r="AA278" s="7"/>
      <c r="AB278" s="7"/>
      <c r="AC278" s="7"/>
      <c r="AD278" s="7"/>
      <c r="AE278" s="7"/>
      <c r="AF278" s="7">
        <f>M278</f>
        <v>600000</v>
      </c>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8">
        <v>45989</v>
      </c>
      <c r="BQ278" s="2"/>
      <c r="BR278" s="2" t="s">
        <v>1803</v>
      </c>
      <c r="BS278" s="2"/>
      <c r="BT278" s="14">
        <f t="shared" si="15"/>
        <v>600000</v>
      </c>
      <c r="BU278" s="2" t="str">
        <f t="shared" si="13"/>
        <v>OK</v>
      </c>
      <c r="BV278" s="13">
        <f t="shared" si="14"/>
        <v>0</v>
      </c>
    </row>
    <row r="279" spans="1:74" s="9" customFormat="1" ht="101.25" hidden="1" x14ac:dyDescent="0.25">
      <c r="A279" s="2" t="s">
        <v>1319</v>
      </c>
      <c r="B279" s="2" t="s">
        <v>452</v>
      </c>
      <c r="C279" s="2" t="s">
        <v>379</v>
      </c>
      <c r="D279" s="12" t="s">
        <v>453</v>
      </c>
      <c r="E279" s="2"/>
      <c r="F279" s="2" t="s">
        <v>72</v>
      </c>
      <c r="G279" s="2" t="s">
        <v>1668</v>
      </c>
      <c r="H279" s="2" t="s">
        <v>66</v>
      </c>
      <c r="I279" s="2" t="s">
        <v>686</v>
      </c>
      <c r="J279" s="2" t="s">
        <v>1618</v>
      </c>
      <c r="K279" s="2" t="s">
        <v>384</v>
      </c>
      <c r="L279" s="22">
        <v>650000</v>
      </c>
      <c r="M279" s="22">
        <v>650000</v>
      </c>
      <c r="N279" s="2" t="s">
        <v>381</v>
      </c>
      <c r="O279" s="7"/>
      <c r="P279" s="7">
        <v>650000</v>
      </c>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8">
        <v>45989</v>
      </c>
      <c r="BQ279" s="2"/>
      <c r="BR279" s="2" t="s">
        <v>1803</v>
      </c>
      <c r="BS279" s="2"/>
      <c r="BT279" s="14">
        <f t="shared" si="15"/>
        <v>650000</v>
      </c>
      <c r="BU279" s="2" t="str">
        <f t="shared" si="13"/>
        <v>OK</v>
      </c>
      <c r="BV279" s="13">
        <f t="shared" si="14"/>
        <v>0</v>
      </c>
    </row>
    <row r="280" spans="1:74" s="9" customFormat="1" ht="78.75" hidden="1" x14ac:dyDescent="0.25">
      <c r="A280" s="24" t="s">
        <v>1323</v>
      </c>
      <c r="B280" s="24" t="s">
        <v>529</v>
      </c>
      <c r="C280" s="24" t="s">
        <v>379</v>
      </c>
      <c r="D280" s="69" t="s">
        <v>530</v>
      </c>
      <c r="E280" s="2"/>
      <c r="F280" s="24" t="s">
        <v>72</v>
      </c>
      <c r="G280" s="24" t="s">
        <v>1668</v>
      </c>
      <c r="H280" s="24" t="s">
        <v>66</v>
      </c>
      <c r="I280" s="24" t="s">
        <v>686</v>
      </c>
      <c r="J280" s="24" t="s">
        <v>1618</v>
      </c>
      <c r="K280" s="24" t="s">
        <v>384</v>
      </c>
      <c r="L280" s="70">
        <v>1050000</v>
      </c>
      <c r="M280" s="70">
        <v>600000</v>
      </c>
      <c r="N280" s="24" t="s">
        <v>398</v>
      </c>
      <c r="O280" s="7"/>
      <c r="P280" s="7"/>
      <c r="Q280" s="7"/>
      <c r="R280" s="7"/>
      <c r="S280" s="7"/>
      <c r="T280" s="7"/>
      <c r="U280" s="7"/>
      <c r="V280" s="7"/>
      <c r="W280" s="7"/>
      <c r="X280" s="7"/>
      <c r="Y280" s="7"/>
      <c r="Z280" s="7"/>
      <c r="AA280" s="7"/>
      <c r="AB280" s="7"/>
      <c r="AC280" s="7"/>
      <c r="AD280" s="7"/>
      <c r="AE280" s="7"/>
      <c r="AF280" s="7">
        <f>M280</f>
        <v>600000</v>
      </c>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8">
        <v>45989</v>
      </c>
      <c r="BQ280" s="24"/>
      <c r="BR280" s="2" t="s">
        <v>1803</v>
      </c>
      <c r="BS280" s="24" t="s">
        <v>1766</v>
      </c>
      <c r="BT280" s="14">
        <f t="shared" si="15"/>
        <v>600000</v>
      </c>
      <c r="BU280" s="2" t="str">
        <f t="shared" si="13"/>
        <v>OK</v>
      </c>
      <c r="BV280" s="13">
        <f t="shared" si="14"/>
        <v>0</v>
      </c>
    </row>
    <row r="281" spans="1:74" s="9" customFormat="1" ht="132" customHeight="1" x14ac:dyDescent="0.25">
      <c r="A281" s="2" t="s">
        <v>1269</v>
      </c>
      <c r="B281" s="2" t="s">
        <v>474</v>
      </c>
      <c r="C281" s="2" t="s">
        <v>379</v>
      </c>
      <c r="D281" s="12" t="s">
        <v>475</v>
      </c>
      <c r="E281" s="2" t="s">
        <v>476</v>
      </c>
      <c r="F281" s="2" t="s">
        <v>72</v>
      </c>
      <c r="G281" s="2" t="s">
        <v>1668</v>
      </c>
      <c r="H281" s="2" t="s">
        <v>77</v>
      </c>
      <c r="I281" s="2" t="s">
        <v>1618</v>
      </c>
      <c r="J281" s="2" t="s">
        <v>1618</v>
      </c>
      <c r="K281" s="2" t="s">
        <v>384</v>
      </c>
      <c r="L281" s="22">
        <v>12000000</v>
      </c>
      <c r="M281" s="22">
        <v>6000000</v>
      </c>
      <c r="N281" s="2" t="s">
        <v>381</v>
      </c>
      <c r="O281" s="7"/>
      <c r="P281" s="7">
        <v>6000000</v>
      </c>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2"/>
      <c r="BQ281" s="8">
        <v>46374</v>
      </c>
      <c r="BR281" s="8"/>
      <c r="BS281" s="8" t="s">
        <v>1746</v>
      </c>
      <c r="BT281" s="14">
        <f t="shared" si="15"/>
        <v>6000000</v>
      </c>
      <c r="BU281" s="2" t="str">
        <f t="shared" si="13"/>
        <v>OK</v>
      </c>
      <c r="BV281" s="13">
        <f t="shared" si="14"/>
        <v>0</v>
      </c>
    </row>
    <row r="282" spans="1:74" s="9" customFormat="1" ht="101.25" hidden="1" x14ac:dyDescent="0.25">
      <c r="A282" s="2" t="s">
        <v>1322</v>
      </c>
      <c r="B282" s="2" t="s">
        <v>535</v>
      </c>
      <c r="C282" s="2" t="s">
        <v>379</v>
      </c>
      <c r="D282" s="12" t="s">
        <v>536</v>
      </c>
      <c r="E282" s="2"/>
      <c r="F282" s="2" t="s">
        <v>72</v>
      </c>
      <c r="G282" s="2" t="s">
        <v>1668</v>
      </c>
      <c r="H282" s="2" t="s">
        <v>66</v>
      </c>
      <c r="I282" s="2" t="s">
        <v>686</v>
      </c>
      <c r="J282" s="2" t="s">
        <v>1618</v>
      </c>
      <c r="K282" s="2" t="s">
        <v>384</v>
      </c>
      <c r="L282" s="22">
        <v>1750000</v>
      </c>
      <c r="M282" s="22">
        <v>600000</v>
      </c>
      <c r="N282" s="2" t="s">
        <v>381</v>
      </c>
      <c r="O282" s="7"/>
      <c r="P282" s="7">
        <f>M282</f>
        <v>600000</v>
      </c>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8">
        <v>45989</v>
      </c>
      <c r="BQ282" s="2"/>
      <c r="BR282" s="2" t="s">
        <v>1803</v>
      </c>
      <c r="BS282" s="2" t="s">
        <v>1780</v>
      </c>
      <c r="BT282" s="14">
        <f t="shared" si="15"/>
        <v>600000</v>
      </c>
      <c r="BU282" s="2" t="str">
        <f t="shared" si="13"/>
        <v>OK</v>
      </c>
      <c r="BV282" s="13">
        <f t="shared" si="14"/>
        <v>0</v>
      </c>
    </row>
    <row r="283" spans="1:74" s="9" customFormat="1" ht="101.25" hidden="1" x14ac:dyDescent="0.25">
      <c r="A283" s="2" t="s">
        <v>1328</v>
      </c>
      <c r="B283" s="2" t="s">
        <v>538</v>
      </c>
      <c r="C283" s="2" t="s">
        <v>379</v>
      </c>
      <c r="D283" s="12" t="s">
        <v>539</v>
      </c>
      <c r="E283" s="2"/>
      <c r="F283" s="2" t="s">
        <v>72</v>
      </c>
      <c r="G283" s="2" t="s">
        <v>1668</v>
      </c>
      <c r="H283" s="2" t="s">
        <v>66</v>
      </c>
      <c r="I283" s="2" t="s">
        <v>686</v>
      </c>
      <c r="J283" s="2" t="s">
        <v>1618</v>
      </c>
      <c r="K283" s="2" t="s">
        <v>384</v>
      </c>
      <c r="L283" s="22">
        <v>1050000</v>
      </c>
      <c r="M283" s="22">
        <v>100000</v>
      </c>
      <c r="N283" s="2" t="s">
        <v>381</v>
      </c>
      <c r="O283" s="7"/>
      <c r="P283" s="7">
        <f>M283</f>
        <v>100000</v>
      </c>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8">
        <v>45989</v>
      </c>
      <c r="BQ283" s="2"/>
      <c r="BR283" s="2" t="s">
        <v>1803</v>
      </c>
      <c r="BS283" s="2"/>
      <c r="BT283" s="14">
        <f t="shared" si="15"/>
        <v>100000</v>
      </c>
      <c r="BU283" s="2" t="str">
        <f t="shared" si="13"/>
        <v>OK</v>
      </c>
      <c r="BV283" s="13">
        <f t="shared" si="14"/>
        <v>0</v>
      </c>
    </row>
    <row r="284" spans="1:74" s="9" customFormat="1" ht="101.25" hidden="1" x14ac:dyDescent="0.25">
      <c r="A284" s="24" t="s">
        <v>1359</v>
      </c>
      <c r="B284" s="24" t="s">
        <v>512</v>
      </c>
      <c r="C284" s="24" t="s">
        <v>379</v>
      </c>
      <c r="D284" s="69" t="s">
        <v>513</v>
      </c>
      <c r="E284" s="2"/>
      <c r="F284" s="24" t="s">
        <v>72</v>
      </c>
      <c r="G284" s="24" t="s">
        <v>1668</v>
      </c>
      <c r="H284" s="24" t="s">
        <v>66</v>
      </c>
      <c r="I284" s="24" t="s">
        <v>686</v>
      </c>
      <c r="J284" s="24" t="s">
        <v>1618</v>
      </c>
      <c r="K284" s="24" t="s">
        <v>384</v>
      </c>
      <c r="L284" s="70">
        <v>1050000</v>
      </c>
      <c r="M284" s="70">
        <v>1000000</v>
      </c>
      <c r="N284" s="24" t="s">
        <v>381</v>
      </c>
      <c r="O284" s="7"/>
      <c r="P284" s="7">
        <f>M284</f>
        <v>1000000</v>
      </c>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8">
        <v>45989</v>
      </c>
      <c r="BQ284" s="24"/>
      <c r="BR284" s="2" t="s">
        <v>1803</v>
      </c>
      <c r="BS284" s="24"/>
      <c r="BT284" s="14">
        <f t="shared" si="15"/>
        <v>1000000</v>
      </c>
      <c r="BU284" s="2" t="str">
        <f t="shared" si="13"/>
        <v>OK</v>
      </c>
      <c r="BV284" s="13">
        <f t="shared" si="14"/>
        <v>0</v>
      </c>
    </row>
    <row r="285" spans="1:74" s="9" customFormat="1" ht="122.25" customHeight="1" x14ac:dyDescent="0.25">
      <c r="A285" s="2" t="s">
        <v>1267</v>
      </c>
      <c r="B285" s="2" t="s">
        <v>427</v>
      </c>
      <c r="C285" s="2" t="s">
        <v>379</v>
      </c>
      <c r="D285" s="12" t="s">
        <v>428</v>
      </c>
      <c r="E285" s="2" t="s">
        <v>429</v>
      </c>
      <c r="F285" s="2" t="s">
        <v>72</v>
      </c>
      <c r="G285" s="2" t="s">
        <v>1668</v>
      </c>
      <c r="H285" s="2" t="s">
        <v>77</v>
      </c>
      <c r="I285" s="2" t="s">
        <v>1618</v>
      </c>
      <c r="J285" s="2" t="s">
        <v>1618</v>
      </c>
      <c r="K285" s="2" t="s">
        <v>384</v>
      </c>
      <c r="L285" s="22">
        <v>14000000</v>
      </c>
      <c r="M285" s="22">
        <v>4000000</v>
      </c>
      <c r="N285" s="2" t="s">
        <v>381</v>
      </c>
      <c r="O285" s="7"/>
      <c r="P285" s="7">
        <v>4000000</v>
      </c>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2"/>
      <c r="BQ285" s="8">
        <v>46533</v>
      </c>
      <c r="BR285" s="8"/>
      <c r="BS285" s="2" t="s">
        <v>1744</v>
      </c>
      <c r="BT285" s="14">
        <f t="shared" si="15"/>
        <v>4000000</v>
      </c>
      <c r="BU285" s="2" t="str">
        <f t="shared" si="13"/>
        <v>OK</v>
      </c>
      <c r="BV285" s="13">
        <f t="shared" si="14"/>
        <v>0</v>
      </c>
    </row>
    <row r="286" spans="1:74" s="9" customFormat="1" ht="45" x14ac:dyDescent="0.25">
      <c r="A286" s="2" t="s">
        <v>1612</v>
      </c>
      <c r="B286" s="2" t="s">
        <v>1119</v>
      </c>
      <c r="C286" s="2" t="s">
        <v>1136</v>
      </c>
      <c r="D286" s="34" t="s">
        <v>1626</v>
      </c>
      <c r="E286" s="2" t="s">
        <v>1627</v>
      </c>
      <c r="F286" s="2" t="s">
        <v>65</v>
      </c>
      <c r="G286" s="2" t="s">
        <v>2048</v>
      </c>
      <c r="H286" s="2" t="s">
        <v>77</v>
      </c>
      <c r="I286" s="2" t="s">
        <v>686</v>
      </c>
      <c r="J286" s="2" t="s">
        <v>1618</v>
      </c>
      <c r="K286" s="2" t="s">
        <v>67</v>
      </c>
      <c r="L286" s="7">
        <v>337960.58</v>
      </c>
      <c r="M286" s="7">
        <v>337960.58</v>
      </c>
      <c r="N286" s="2" t="s">
        <v>14</v>
      </c>
      <c r="O286" s="7"/>
      <c r="P286" s="7"/>
      <c r="Q286" s="7"/>
      <c r="R286" s="7"/>
      <c r="S286" s="7"/>
      <c r="T286" s="7"/>
      <c r="U286" s="7"/>
      <c r="V286" s="7">
        <v>337960.58</v>
      </c>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2"/>
      <c r="BQ286" s="8">
        <v>45446</v>
      </c>
      <c r="BR286" s="2"/>
      <c r="BS286" s="2" t="s">
        <v>1628</v>
      </c>
      <c r="BT286" s="14">
        <f t="shared" si="15"/>
        <v>337960.58</v>
      </c>
      <c r="BU286" s="2" t="str">
        <f t="shared" si="13"/>
        <v>OK</v>
      </c>
      <c r="BV286" s="13">
        <f t="shared" si="14"/>
        <v>0</v>
      </c>
    </row>
    <row r="287" spans="1:74" s="9" customFormat="1" ht="101.25" hidden="1" x14ac:dyDescent="0.25">
      <c r="A287" s="2" t="s">
        <v>1360</v>
      </c>
      <c r="B287" s="2" t="s">
        <v>485</v>
      </c>
      <c r="C287" s="2" t="s">
        <v>379</v>
      </c>
      <c r="D287" s="12" t="s">
        <v>486</v>
      </c>
      <c r="E287" s="2"/>
      <c r="F287" s="2" t="s">
        <v>72</v>
      </c>
      <c r="G287" s="2" t="s">
        <v>1668</v>
      </c>
      <c r="H287" s="2" t="s">
        <v>66</v>
      </c>
      <c r="I287" s="2" t="s">
        <v>686</v>
      </c>
      <c r="J287" s="2" t="s">
        <v>1618</v>
      </c>
      <c r="K287" s="2" t="s">
        <v>384</v>
      </c>
      <c r="L287" s="22">
        <v>15000000</v>
      </c>
      <c r="M287" s="22">
        <v>100000</v>
      </c>
      <c r="N287" s="2" t="s">
        <v>381</v>
      </c>
      <c r="O287" s="7"/>
      <c r="P287" s="7">
        <v>100000</v>
      </c>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8">
        <v>45989</v>
      </c>
      <c r="BQ287" s="2"/>
      <c r="BR287" s="2" t="s">
        <v>1803</v>
      </c>
      <c r="BS287" s="8"/>
      <c r="BT287" s="14">
        <f t="shared" si="15"/>
        <v>100000</v>
      </c>
      <c r="BU287" s="2" t="str">
        <f t="shared" si="13"/>
        <v>OK</v>
      </c>
      <c r="BV287" s="13">
        <f t="shared" si="14"/>
        <v>0</v>
      </c>
    </row>
    <row r="288" spans="1:74" s="9" customFormat="1" ht="101.25" hidden="1" x14ac:dyDescent="0.25">
      <c r="A288" s="2" t="s">
        <v>1361</v>
      </c>
      <c r="B288" s="2" t="s">
        <v>430</v>
      </c>
      <c r="C288" s="2" t="s">
        <v>379</v>
      </c>
      <c r="D288" s="12" t="s">
        <v>1813</v>
      </c>
      <c r="E288" s="2"/>
      <c r="F288" s="2" t="s">
        <v>72</v>
      </c>
      <c r="G288" s="2" t="s">
        <v>1668</v>
      </c>
      <c r="H288" s="2" t="s">
        <v>66</v>
      </c>
      <c r="I288" s="2" t="s">
        <v>686</v>
      </c>
      <c r="J288" s="2" t="s">
        <v>1618</v>
      </c>
      <c r="K288" s="2" t="s">
        <v>384</v>
      </c>
      <c r="L288" s="22">
        <v>13209153</v>
      </c>
      <c r="M288" s="22">
        <v>100000</v>
      </c>
      <c r="N288" s="2" t="s">
        <v>381</v>
      </c>
      <c r="O288" s="7"/>
      <c r="P288" s="7">
        <v>100000</v>
      </c>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8">
        <v>45992</v>
      </c>
      <c r="BQ288" s="2"/>
      <c r="BR288" s="2" t="s">
        <v>1803</v>
      </c>
      <c r="BS288" s="8"/>
      <c r="BT288" s="14">
        <f t="shared" si="15"/>
        <v>100000</v>
      </c>
      <c r="BU288" s="2" t="str">
        <f t="shared" si="13"/>
        <v>OK</v>
      </c>
      <c r="BV288" s="13">
        <f t="shared" si="14"/>
        <v>0</v>
      </c>
    </row>
    <row r="289" spans="1:74" s="9" customFormat="1" ht="90" hidden="1" x14ac:dyDescent="0.25">
      <c r="A289" s="2" t="s">
        <v>1367</v>
      </c>
      <c r="B289" s="2" t="s">
        <v>382</v>
      </c>
      <c r="C289" s="2" t="s">
        <v>379</v>
      </c>
      <c r="D289" s="12" t="s">
        <v>383</v>
      </c>
      <c r="E289" s="2"/>
      <c r="F289" s="2" t="s">
        <v>72</v>
      </c>
      <c r="G289" s="2" t="s">
        <v>1668</v>
      </c>
      <c r="H289" s="2" t="s">
        <v>66</v>
      </c>
      <c r="I289" s="2" t="s">
        <v>686</v>
      </c>
      <c r="J289" s="2" t="s">
        <v>1618</v>
      </c>
      <c r="K289" s="2" t="s">
        <v>384</v>
      </c>
      <c r="L289" s="22">
        <v>4500000</v>
      </c>
      <c r="M289" s="22">
        <v>100000</v>
      </c>
      <c r="N289" s="2" t="s">
        <v>11</v>
      </c>
      <c r="O289" s="7"/>
      <c r="P289" s="7">
        <v>100000</v>
      </c>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8">
        <v>45992</v>
      </c>
      <c r="BQ289" s="2"/>
      <c r="BR289" s="2" t="s">
        <v>1803</v>
      </c>
      <c r="BS289" s="2"/>
      <c r="BT289" s="14">
        <f t="shared" si="15"/>
        <v>100000</v>
      </c>
      <c r="BU289" s="2" t="str">
        <f t="shared" si="13"/>
        <v>OK</v>
      </c>
      <c r="BV289" s="13">
        <f t="shared" si="14"/>
        <v>0</v>
      </c>
    </row>
    <row r="290" spans="1:74" s="9" customFormat="1" ht="90" hidden="1" x14ac:dyDescent="0.25">
      <c r="A290" s="2" t="s">
        <v>1370</v>
      </c>
      <c r="B290" s="2" t="s">
        <v>410</v>
      </c>
      <c r="C290" s="2" t="s">
        <v>379</v>
      </c>
      <c r="D290" s="12" t="s">
        <v>411</v>
      </c>
      <c r="E290" s="2"/>
      <c r="F290" s="2" t="s">
        <v>72</v>
      </c>
      <c r="G290" s="2" t="s">
        <v>1668</v>
      </c>
      <c r="H290" s="2" t="s">
        <v>66</v>
      </c>
      <c r="I290" s="2" t="s">
        <v>686</v>
      </c>
      <c r="J290" s="2" t="s">
        <v>1618</v>
      </c>
      <c r="K290" s="2" t="s">
        <v>384</v>
      </c>
      <c r="L290" s="22">
        <v>4500000</v>
      </c>
      <c r="M290" s="22">
        <v>100000</v>
      </c>
      <c r="N290" s="2" t="s">
        <v>11</v>
      </c>
      <c r="O290" s="7"/>
      <c r="P290" s="7"/>
      <c r="Q290" s="7"/>
      <c r="R290" s="7"/>
      <c r="S290" s="7">
        <v>100000</v>
      </c>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8">
        <v>45992</v>
      </c>
      <c r="BQ290" s="2"/>
      <c r="BR290" s="2" t="s">
        <v>1803</v>
      </c>
      <c r="BS290" s="2"/>
      <c r="BT290" s="14">
        <f t="shared" si="15"/>
        <v>100000</v>
      </c>
      <c r="BU290" s="2" t="str">
        <f t="shared" si="13"/>
        <v>OK</v>
      </c>
      <c r="BV290" s="13">
        <f t="shared" si="14"/>
        <v>0</v>
      </c>
    </row>
    <row r="291" spans="1:74" s="9" customFormat="1" ht="168.75" hidden="1" x14ac:dyDescent="0.25">
      <c r="A291" s="24" t="s">
        <v>1306</v>
      </c>
      <c r="B291" s="24" t="s">
        <v>385</v>
      </c>
      <c r="C291" s="24" t="s">
        <v>379</v>
      </c>
      <c r="D291" s="69" t="s">
        <v>386</v>
      </c>
      <c r="E291" s="2"/>
      <c r="F291" s="24" t="s">
        <v>72</v>
      </c>
      <c r="G291" s="24" t="s">
        <v>1668</v>
      </c>
      <c r="H291" s="24" t="s">
        <v>66</v>
      </c>
      <c r="I291" s="24" t="s">
        <v>686</v>
      </c>
      <c r="J291" s="24" t="s">
        <v>1618</v>
      </c>
      <c r="K291" s="24" t="s">
        <v>384</v>
      </c>
      <c r="L291" s="70">
        <v>50000000</v>
      </c>
      <c r="M291" s="70">
        <v>1000000</v>
      </c>
      <c r="N291" s="24" t="s">
        <v>387</v>
      </c>
      <c r="O291" s="7"/>
      <c r="P291" s="7">
        <v>1000000</v>
      </c>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8">
        <v>46006</v>
      </c>
      <c r="BQ291" s="24"/>
      <c r="BR291" s="2" t="s">
        <v>1803</v>
      </c>
      <c r="BS291" s="24" t="s">
        <v>1780</v>
      </c>
      <c r="BT291" s="14">
        <f t="shared" si="15"/>
        <v>1000000</v>
      </c>
      <c r="BU291" s="2" t="str">
        <f t="shared" si="13"/>
        <v>OK</v>
      </c>
      <c r="BV291" s="13">
        <f t="shared" si="14"/>
        <v>0</v>
      </c>
    </row>
    <row r="292" spans="1:74" s="9" customFormat="1" ht="132.75" customHeight="1" x14ac:dyDescent="0.25">
      <c r="A292" s="2" t="s">
        <v>1373</v>
      </c>
      <c r="B292" s="2" t="s">
        <v>620</v>
      </c>
      <c r="C292" s="2" t="s">
        <v>379</v>
      </c>
      <c r="D292" s="12" t="s">
        <v>621</v>
      </c>
      <c r="E292" s="2" t="s">
        <v>622</v>
      </c>
      <c r="F292" s="2" t="s">
        <v>72</v>
      </c>
      <c r="G292" s="2" t="s">
        <v>1669</v>
      </c>
      <c r="H292" s="2" t="s">
        <v>77</v>
      </c>
      <c r="I292" s="2" t="s">
        <v>1618</v>
      </c>
      <c r="J292" s="2" t="s">
        <v>1618</v>
      </c>
      <c r="K292" s="2" t="s">
        <v>384</v>
      </c>
      <c r="L292" s="22">
        <v>61807</v>
      </c>
      <c r="M292" s="22">
        <v>61807</v>
      </c>
      <c r="N292" s="2" t="s">
        <v>381</v>
      </c>
      <c r="O292" s="7"/>
      <c r="P292" s="7">
        <v>61807</v>
      </c>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2"/>
      <c r="BQ292" s="8">
        <v>45659</v>
      </c>
      <c r="BR292" s="8"/>
      <c r="BS292" s="8" t="s">
        <v>1752</v>
      </c>
      <c r="BT292" s="14">
        <f t="shared" si="15"/>
        <v>61807</v>
      </c>
      <c r="BU292" s="2" t="str">
        <f t="shared" si="13"/>
        <v>OK</v>
      </c>
      <c r="BV292" s="13">
        <f t="shared" si="14"/>
        <v>0</v>
      </c>
    </row>
    <row r="293" spans="1:74" s="9" customFormat="1" ht="124.5" customHeight="1" x14ac:dyDescent="0.25">
      <c r="A293" s="2" t="s">
        <v>1594</v>
      </c>
      <c r="B293" s="2" t="s">
        <v>597</v>
      </c>
      <c r="C293" s="2" t="s">
        <v>379</v>
      </c>
      <c r="D293" s="12" t="s">
        <v>598</v>
      </c>
      <c r="E293" s="2" t="s">
        <v>599</v>
      </c>
      <c r="F293" s="2" t="s">
        <v>72</v>
      </c>
      <c r="G293" s="2" t="s">
        <v>1669</v>
      </c>
      <c r="H293" s="2" t="s">
        <v>77</v>
      </c>
      <c r="I293" s="2" t="s">
        <v>1618</v>
      </c>
      <c r="J293" s="2" t="s">
        <v>1618</v>
      </c>
      <c r="K293" s="2" t="s">
        <v>384</v>
      </c>
      <c r="L293" s="22">
        <v>344803.95</v>
      </c>
      <c r="M293" s="22">
        <v>25000</v>
      </c>
      <c r="N293" s="2" t="s">
        <v>381</v>
      </c>
      <c r="O293" s="7"/>
      <c r="P293" s="7">
        <v>25000</v>
      </c>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2"/>
      <c r="BQ293" s="8">
        <v>45805</v>
      </c>
      <c r="BR293" s="8"/>
      <c r="BS293" s="2" t="s">
        <v>1751</v>
      </c>
      <c r="BT293" s="14">
        <f t="shared" si="15"/>
        <v>25000</v>
      </c>
      <c r="BU293" s="2" t="str">
        <f t="shared" si="13"/>
        <v>OK</v>
      </c>
      <c r="BV293" s="13">
        <f t="shared" si="14"/>
        <v>0</v>
      </c>
    </row>
    <row r="294" spans="1:74" s="9" customFormat="1" ht="112.5" hidden="1" x14ac:dyDescent="0.25">
      <c r="A294" s="2" t="s">
        <v>1329</v>
      </c>
      <c r="B294" s="2" t="s">
        <v>502</v>
      </c>
      <c r="C294" s="2" t="s">
        <v>379</v>
      </c>
      <c r="D294" s="12" t="s">
        <v>503</v>
      </c>
      <c r="E294" s="2"/>
      <c r="F294" s="2" t="s">
        <v>72</v>
      </c>
      <c r="G294" s="2" t="s">
        <v>1668</v>
      </c>
      <c r="H294" s="2" t="s">
        <v>66</v>
      </c>
      <c r="I294" s="2" t="s">
        <v>686</v>
      </c>
      <c r="J294" s="2" t="s">
        <v>1618</v>
      </c>
      <c r="K294" s="2" t="s">
        <v>384</v>
      </c>
      <c r="L294" s="22">
        <v>12000000</v>
      </c>
      <c r="M294" s="22">
        <v>100000</v>
      </c>
      <c r="N294" s="2" t="s">
        <v>504</v>
      </c>
      <c r="O294" s="7"/>
      <c r="P294" s="7">
        <v>100000</v>
      </c>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8">
        <v>46006</v>
      </c>
      <c r="BQ294" s="2"/>
      <c r="BR294" s="2" t="s">
        <v>1803</v>
      </c>
      <c r="BS294" s="8"/>
      <c r="BT294" s="14">
        <f t="shared" si="15"/>
        <v>100000</v>
      </c>
      <c r="BU294" s="2" t="str">
        <f t="shared" si="13"/>
        <v>OK</v>
      </c>
      <c r="BV294" s="13">
        <f t="shared" si="14"/>
        <v>0</v>
      </c>
    </row>
    <row r="295" spans="1:74" s="9" customFormat="1" ht="101.25" hidden="1" x14ac:dyDescent="0.25">
      <c r="A295" s="24" t="s">
        <v>1330</v>
      </c>
      <c r="B295" s="24" t="s">
        <v>489</v>
      </c>
      <c r="C295" s="24" t="s">
        <v>379</v>
      </c>
      <c r="D295" s="69" t="s">
        <v>490</v>
      </c>
      <c r="E295" s="2"/>
      <c r="F295" s="24" t="s">
        <v>72</v>
      </c>
      <c r="G295" s="24" t="s">
        <v>1668</v>
      </c>
      <c r="H295" s="24" t="s">
        <v>66</v>
      </c>
      <c r="I295" s="24" t="s">
        <v>686</v>
      </c>
      <c r="J295" s="24" t="s">
        <v>1618</v>
      </c>
      <c r="K295" s="24" t="s">
        <v>384</v>
      </c>
      <c r="L295" s="70">
        <v>6500000</v>
      </c>
      <c r="M295" s="70">
        <v>100000</v>
      </c>
      <c r="N295" s="24" t="s">
        <v>381</v>
      </c>
      <c r="O295" s="7"/>
      <c r="P295" s="7">
        <v>100000</v>
      </c>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8">
        <v>46006</v>
      </c>
      <c r="BQ295" s="24"/>
      <c r="BR295" s="2" t="s">
        <v>1803</v>
      </c>
      <c r="BS295" s="72" t="s">
        <v>1770</v>
      </c>
      <c r="BT295" s="14">
        <f t="shared" si="15"/>
        <v>100000</v>
      </c>
      <c r="BU295" s="2" t="str">
        <f t="shared" si="13"/>
        <v>OK</v>
      </c>
      <c r="BV295" s="13">
        <f t="shared" si="14"/>
        <v>0</v>
      </c>
    </row>
    <row r="296" spans="1:74" s="9" customFormat="1" ht="117.75" customHeight="1" x14ac:dyDescent="0.25">
      <c r="A296" s="2" t="s">
        <v>1261</v>
      </c>
      <c r="B296" s="2" t="s">
        <v>633</v>
      </c>
      <c r="C296" s="2" t="s">
        <v>379</v>
      </c>
      <c r="D296" s="12" t="s">
        <v>634</v>
      </c>
      <c r="E296" s="2" t="s">
        <v>635</v>
      </c>
      <c r="F296" s="2" t="s">
        <v>72</v>
      </c>
      <c r="G296" s="2" t="s">
        <v>1669</v>
      </c>
      <c r="H296" s="2" t="s">
        <v>77</v>
      </c>
      <c r="I296" s="2" t="s">
        <v>1618</v>
      </c>
      <c r="J296" s="2" t="s">
        <v>1618</v>
      </c>
      <c r="K296" s="2" t="s">
        <v>384</v>
      </c>
      <c r="L296" s="22">
        <v>30192563.469999999</v>
      </c>
      <c r="M296" s="22">
        <v>6000000</v>
      </c>
      <c r="N296" s="2" t="s">
        <v>381</v>
      </c>
      <c r="O296" s="7"/>
      <c r="P296" s="7">
        <v>6000000</v>
      </c>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2"/>
      <c r="BQ296" s="8">
        <v>46520</v>
      </c>
      <c r="BR296" s="8"/>
      <c r="BS296" s="8" t="s">
        <v>1753</v>
      </c>
      <c r="BT296" s="14">
        <f t="shared" si="15"/>
        <v>6000000</v>
      </c>
      <c r="BU296" s="2" t="str">
        <f t="shared" si="13"/>
        <v>OK</v>
      </c>
      <c r="BV296" s="13">
        <f t="shared" si="14"/>
        <v>0</v>
      </c>
    </row>
    <row r="297" spans="1:74" s="9" customFormat="1" ht="169.5" customHeight="1" x14ac:dyDescent="0.25">
      <c r="A297" s="2" t="s">
        <v>1257</v>
      </c>
      <c r="B297" s="2" t="s">
        <v>602</v>
      </c>
      <c r="C297" s="2" t="s">
        <v>379</v>
      </c>
      <c r="D297" s="12" t="s">
        <v>603</v>
      </c>
      <c r="E297" s="2"/>
      <c r="F297" s="2" t="s">
        <v>72</v>
      </c>
      <c r="G297" s="2" t="s">
        <v>1669</v>
      </c>
      <c r="H297" s="2" t="s">
        <v>77</v>
      </c>
      <c r="I297" s="2" t="s">
        <v>686</v>
      </c>
      <c r="J297" s="2" t="s">
        <v>1618</v>
      </c>
      <c r="K297" s="2" t="s">
        <v>384</v>
      </c>
      <c r="L297" s="22">
        <v>49221669.719999999</v>
      </c>
      <c r="M297" s="22">
        <v>9000000</v>
      </c>
      <c r="N297" s="2" t="s">
        <v>392</v>
      </c>
      <c r="O297" s="7"/>
      <c r="P297" s="7">
        <v>9000000</v>
      </c>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8">
        <v>45572</v>
      </c>
      <c r="BQ297" s="8">
        <v>46667</v>
      </c>
      <c r="BR297" s="2"/>
      <c r="BS297" s="2" t="s">
        <v>1747</v>
      </c>
      <c r="BT297" s="14">
        <f t="shared" si="15"/>
        <v>9000000</v>
      </c>
      <c r="BU297" s="2" t="str">
        <f t="shared" si="13"/>
        <v>OK</v>
      </c>
      <c r="BV297" s="13">
        <f t="shared" si="14"/>
        <v>0</v>
      </c>
    </row>
    <row r="298" spans="1:74" s="9" customFormat="1" ht="99.95" customHeight="1" x14ac:dyDescent="0.25">
      <c r="A298" s="2" t="s">
        <v>1154</v>
      </c>
      <c r="B298" s="2" t="s">
        <v>73</v>
      </c>
      <c r="C298" s="2" t="s">
        <v>74</v>
      </c>
      <c r="D298" s="12" t="s">
        <v>1868</v>
      </c>
      <c r="E298" s="2" t="s">
        <v>76</v>
      </c>
      <c r="F298" s="2" t="s">
        <v>65</v>
      </c>
      <c r="G298" s="2" t="s">
        <v>2035</v>
      </c>
      <c r="H298" s="2" t="s">
        <v>77</v>
      </c>
      <c r="I298" s="2" t="s">
        <v>78</v>
      </c>
      <c r="J298" s="2" t="s">
        <v>79</v>
      </c>
      <c r="K298" s="2" t="s">
        <v>67</v>
      </c>
      <c r="L298" s="22">
        <v>476483.7</v>
      </c>
      <c r="M298" s="22">
        <v>311520</v>
      </c>
      <c r="N298" s="2" t="s">
        <v>39</v>
      </c>
      <c r="O298" s="7">
        <v>0</v>
      </c>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v>311520</v>
      </c>
      <c r="AV298" s="7"/>
      <c r="AW298" s="7"/>
      <c r="AX298" s="7"/>
      <c r="AY298" s="7"/>
      <c r="AZ298" s="7"/>
      <c r="BA298" s="7"/>
      <c r="BB298" s="7"/>
      <c r="BC298" s="7"/>
      <c r="BD298" s="7"/>
      <c r="BE298" s="7"/>
      <c r="BF298" s="7"/>
      <c r="BG298" s="7"/>
      <c r="BH298" s="7"/>
      <c r="BI298" s="7"/>
      <c r="BJ298" s="7"/>
      <c r="BK298" s="7"/>
      <c r="BL298" s="7"/>
      <c r="BM298" s="7"/>
      <c r="BN298" s="7"/>
      <c r="BO298" s="7"/>
      <c r="BP298" s="2"/>
      <c r="BQ298" s="8">
        <v>45779</v>
      </c>
      <c r="BR298" s="8"/>
      <c r="BS298" s="1" t="s">
        <v>1695</v>
      </c>
      <c r="BT298" s="14">
        <f t="shared" si="15"/>
        <v>311520</v>
      </c>
      <c r="BU298" s="2" t="str">
        <f t="shared" si="13"/>
        <v>OK</v>
      </c>
      <c r="BV298" s="13">
        <f t="shared" si="14"/>
        <v>0</v>
      </c>
    </row>
    <row r="299" spans="1:74" s="9" customFormat="1" ht="99.95" customHeight="1" x14ac:dyDescent="0.25">
      <c r="A299" s="2" t="s">
        <v>1155</v>
      </c>
      <c r="B299" s="2" t="s">
        <v>80</v>
      </c>
      <c r="C299" s="2" t="s">
        <v>74</v>
      </c>
      <c r="D299" s="12" t="s">
        <v>1867</v>
      </c>
      <c r="E299" s="2" t="s">
        <v>82</v>
      </c>
      <c r="F299" s="2" t="s">
        <v>65</v>
      </c>
      <c r="G299" s="2" t="s">
        <v>2035</v>
      </c>
      <c r="H299" s="2" t="s">
        <v>77</v>
      </c>
      <c r="I299" s="2" t="s">
        <v>78</v>
      </c>
      <c r="J299" s="2" t="s">
        <v>83</v>
      </c>
      <c r="K299" s="2" t="s">
        <v>67</v>
      </c>
      <c r="L299" s="22">
        <v>303216.90000000002</v>
      </c>
      <c r="M299" s="22">
        <v>198240</v>
      </c>
      <c r="N299" s="2" t="s">
        <v>39</v>
      </c>
      <c r="O299" s="7">
        <v>0</v>
      </c>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v>198240</v>
      </c>
      <c r="AV299" s="7"/>
      <c r="AW299" s="7"/>
      <c r="AX299" s="7"/>
      <c r="AY299" s="7"/>
      <c r="AZ299" s="7"/>
      <c r="BA299" s="7"/>
      <c r="BB299" s="7"/>
      <c r="BC299" s="7"/>
      <c r="BD299" s="7"/>
      <c r="BE299" s="7"/>
      <c r="BF299" s="7"/>
      <c r="BG299" s="7"/>
      <c r="BH299" s="7"/>
      <c r="BI299" s="7"/>
      <c r="BJ299" s="7"/>
      <c r="BK299" s="7"/>
      <c r="BL299" s="7"/>
      <c r="BM299" s="7"/>
      <c r="BN299" s="7"/>
      <c r="BO299" s="7"/>
      <c r="BP299" s="2"/>
      <c r="BQ299" s="8">
        <v>45779</v>
      </c>
      <c r="BR299" s="8"/>
      <c r="BS299" s="2" t="s">
        <v>1695</v>
      </c>
      <c r="BT299" s="14">
        <f t="shared" si="15"/>
        <v>198240</v>
      </c>
      <c r="BU299" s="2" t="str">
        <f t="shared" si="13"/>
        <v>OK</v>
      </c>
      <c r="BV299" s="13">
        <f t="shared" si="14"/>
        <v>0</v>
      </c>
    </row>
    <row r="300" spans="1:74" s="9" customFormat="1" ht="101.25" hidden="1" x14ac:dyDescent="0.25">
      <c r="A300" s="2" t="s">
        <v>1353</v>
      </c>
      <c r="B300" s="2" t="s">
        <v>500</v>
      </c>
      <c r="C300" s="2" t="s">
        <v>379</v>
      </c>
      <c r="D300" s="12" t="s">
        <v>501</v>
      </c>
      <c r="E300" s="2"/>
      <c r="F300" s="2" t="s">
        <v>72</v>
      </c>
      <c r="G300" s="2" t="s">
        <v>1668</v>
      </c>
      <c r="H300" s="2" t="s">
        <v>66</v>
      </c>
      <c r="I300" s="2" t="s">
        <v>686</v>
      </c>
      <c r="J300" s="2" t="s">
        <v>1618</v>
      </c>
      <c r="K300" s="2" t="s">
        <v>384</v>
      </c>
      <c r="L300" s="22">
        <v>1650000</v>
      </c>
      <c r="M300" s="22">
        <v>100000</v>
      </c>
      <c r="N300" s="2" t="s">
        <v>381</v>
      </c>
      <c r="O300" s="7"/>
      <c r="P300" s="7">
        <v>100000</v>
      </c>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8">
        <v>46006</v>
      </c>
      <c r="BQ300" s="2"/>
      <c r="BR300" s="2" t="s">
        <v>1803</v>
      </c>
      <c r="BS300" s="8" t="s">
        <v>1776</v>
      </c>
      <c r="BT300" s="14">
        <f t="shared" si="15"/>
        <v>100000</v>
      </c>
      <c r="BU300" s="2" t="str">
        <f t="shared" si="13"/>
        <v>OK</v>
      </c>
      <c r="BV300" s="13">
        <f t="shared" si="14"/>
        <v>0</v>
      </c>
    </row>
    <row r="301" spans="1:74" s="9" customFormat="1" ht="101.25" hidden="1" x14ac:dyDescent="0.25">
      <c r="A301" s="2" t="s">
        <v>1362</v>
      </c>
      <c r="B301" s="2" t="s">
        <v>457</v>
      </c>
      <c r="C301" s="2" t="s">
        <v>379</v>
      </c>
      <c r="D301" s="12" t="s">
        <v>458</v>
      </c>
      <c r="E301" s="2"/>
      <c r="F301" s="2" t="s">
        <v>72</v>
      </c>
      <c r="G301" s="2" t="s">
        <v>1668</v>
      </c>
      <c r="H301" s="2" t="s">
        <v>66</v>
      </c>
      <c r="I301" s="2" t="s">
        <v>686</v>
      </c>
      <c r="J301" s="2" t="s">
        <v>1618</v>
      </c>
      <c r="K301" s="2" t="s">
        <v>384</v>
      </c>
      <c r="L301" s="22">
        <v>9327441</v>
      </c>
      <c r="M301" s="22">
        <v>100000</v>
      </c>
      <c r="N301" s="2" t="s">
        <v>381</v>
      </c>
      <c r="O301" s="7"/>
      <c r="P301" s="7">
        <v>100000</v>
      </c>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8">
        <v>46006</v>
      </c>
      <c r="BQ301" s="2"/>
      <c r="BR301" s="2" t="s">
        <v>1803</v>
      </c>
      <c r="BS301" s="8"/>
      <c r="BT301" s="14">
        <f t="shared" si="15"/>
        <v>100000</v>
      </c>
      <c r="BU301" s="2" t="str">
        <f t="shared" si="13"/>
        <v>OK</v>
      </c>
      <c r="BV301" s="13">
        <f t="shared" si="14"/>
        <v>0</v>
      </c>
    </row>
    <row r="302" spans="1:74" s="9" customFormat="1" ht="33.75" hidden="1" x14ac:dyDescent="0.25">
      <c r="A302" s="2" t="s">
        <v>1457</v>
      </c>
      <c r="B302" s="2" t="s">
        <v>1102</v>
      </c>
      <c r="C302" s="2" t="s">
        <v>681</v>
      </c>
      <c r="D302" s="12" t="s">
        <v>1103</v>
      </c>
      <c r="E302" s="2"/>
      <c r="F302" s="2" t="s">
        <v>72</v>
      </c>
      <c r="G302" s="2" t="s">
        <v>1679</v>
      </c>
      <c r="H302" s="2" t="s">
        <v>66</v>
      </c>
      <c r="I302" s="2" t="s">
        <v>686</v>
      </c>
      <c r="J302" s="2">
        <v>15</v>
      </c>
      <c r="K302" s="2" t="s">
        <v>67</v>
      </c>
      <c r="L302" s="22">
        <v>115895.7</v>
      </c>
      <c r="M302" s="22">
        <v>115895.7</v>
      </c>
      <c r="N302" s="2" t="s">
        <v>14</v>
      </c>
      <c r="O302" s="7"/>
      <c r="P302" s="7"/>
      <c r="Q302" s="7"/>
      <c r="R302" s="7"/>
      <c r="S302" s="7"/>
      <c r="T302" s="7"/>
      <c r="U302" s="7">
        <v>0</v>
      </c>
      <c r="V302" s="7">
        <v>115895.7</v>
      </c>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8">
        <v>45873</v>
      </c>
      <c r="BQ302" s="15"/>
      <c r="BR302" s="15" t="s">
        <v>1801</v>
      </c>
      <c r="BS302" s="2"/>
      <c r="BT302" s="14">
        <f t="shared" si="15"/>
        <v>115895.7</v>
      </c>
      <c r="BU302" s="2" t="str">
        <f t="shared" si="13"/>
        <v>OK</v>
      </c>
      <c r="BV302" s="13">
        <f t="shared" si="14"/>
        <v>0</v>
      </c>
    </row>
    <row r="303" spans="1:74" s="9" customFormat="1" ht="33.75" hidden="1" x14ac:dyDescent="0.25">
      <c r="A303" s="24" t="s">
        <v>1474</v>
      </c>
      <c r="B303" s="24" t="s">
        <v>684</v>
      </c>
      <c r="C303" s="24" t="s">
        <v>681</v>
      </c>
      <c r="D303" s="69" t="s">
        <v>685</v>
      </c>
      <c r="E303" s="2"/>
      <c r="F303" s="24" t="s">
        <v>72</v>
      </c>
      <c r="G303" s="24" t="s">
        <v>1681</v>
      </c>
      <c r="H303" s="24" t="s">
        <v>66</v>
      </c>
      <c r="I303" s="24" t="s">
        <v>686</v>
      </c>
      <c r="J303" s="24">
        <v>1</v>
      </c>
      <c r="K303" s="24" t="s">
        <v>67</v>
      </c>
      <c r="L303" s="70">
        <v>62700</v>
      </c>
      <c r="M303" s="70">
        <v>62700</v>
      </c>
      <c r="N303" s="24" t="s">
        <v>14</v>
      </c>
      <c r="O303" s="7">
        <v>0</v>
      </c>
      <c r="P303" s="7"/>
      <c r="Q303" s="7"/>
      <c r="R303" s="7"/>
      <c r="S303" s="7"/>
      <c r="T303" s="7"/>
      <c r="U303" s="7"/>
      <c r="V303" s="7">
        <v>62700</v>
      </c>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8">
        <v>45807</v>
      </c>
      <c r="BQ303" s="24"/>
      <c r="BR303" s="2" t="s">
        <v>1801</v>
      </c>
      <c r="BS303" s="78"/>
      <c r="BT303" s="14">
        <f t="shared" si="15"/>
        <v>62700</v>
      </c>
      <c r="BU303" s="2" t="str">
        <f t="shared" si="13"/>
        <v>OK</v>
      </c>
      <c r="BV303" s="13">
        <f t="shared" si="14"/>
        <v>0</v>
      </c>
    </row>
    <row r="304" spans="1:74" s="9" customFormat="1" ht="99.95" customHeight="1" x14ac:dyDescent="0.25">
      <c r="A304" s="2" t="s">
        <v>1156</v>
      </c>
      <c r="B304" s="2" t="s">
        <v>84</v>
      </c>
      <c r="C304" s="2" t="s">
        <v>74</v>
      </c>
      <c r="D304" s="12" t="s">
        <v>1869</v>
      </c>
      <c r="E304" s="2" t="s">
        <v>86</v>
      </c>
      <c r="F304" s="2" t="s">
        <v>65</v>
      </c>
      <c r="G304" s="2" t="s">
        <v>2035</v>
      </c>
      <c r="H304" s="2" t="s">
        <v>77</v>
      </c>
      <c r="I304" s="2" t="s">
        <v>78</v>
      </c>
      <c r="J304" s="2" t="s">
        <v>87</v>
      </c>
      <c r="K304" s="2" t="s">
        <v>67</v>
      </c>
      <c r="L304" s="22">
        <v>521038.02</v>
      </c>
      <c r="M304" s="22">
        <v>339840</v>
      </c>
      <c r="N304" s="2" t="s">
        <v>39</v>
      </c>
      <c r="O304" s="7">
        <v>0</v>
      </c>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v>339840</v>
      </c>
      <c r="AV304" s="7"/>
      <c r="AW304" s="7"/>
      <c r="AX304" s="7"/>
      <c r="AY304" s="7"/>
      <c r="AZ304" s="7"/>
      <c r="BA304" s="7"/>
      <c r="BB304" s="7"/>
      <c r="BC304" s="7"/>
      <c r="BD304" s="7"/>
      <c r="BE304" s="7"/>
      <c r="BF304" s="7"/>
      <c r="BG304" s="7"/>
      <c r="BH304" s="7"/>
      <c r="BI304" s="7"/>
      <c r="BJ304" s="7"/>
      <c r="BK304" s="7"/>
      <c r="BL304" s="7"/>
      <c r="BM304" s="7"/>
      <c r="BN304" s="7"/>
      <c r="BO304" s="7"/>
      <c r="BP304" s="2"/>
      <c r="BQ304" s="8">
        <v>45779</v>
      </c>
      <c r="BR304" s="8"/>
      <c r="BS304" s="8" t="s">
        <v>1695</v>
      </c>
      <c r="BT304" s="14">
        <f t="shared" si="15"/>
        <v>339840</v>
      </c>
      <c r="BU304" s="2" t="str">
        <f t="shared" si="13"/>
        <v>OK</v>
      </c>
      <c r="BV304" s="13">
        <f t="shared" si="14"/>
        <v>0</v>
      </c>
    </row>
    <row r="305" spans="1:74" s="9" customFormat="1" ht="45" hidden="1" x14ac:dyDescent="0.25">
      <c r="A305" s="24" t="s">
        <v>1475</v>
      </c>
      <c r="B305" s="24" t="s">
        <v>897</v>
      </c>
      <c r="C305" s="24" t="s">
        <v>681</v>
      </c>
      <c r="D305" s="69" t="s">
        <v>898</v>
      </c>
      <c r="E305" s="2"/>
      <c r="F305" s="24" t="s">
        <v>72</v>
      </c>
      <c r="G305" s="24" t="s">
        <v>1681</v>
      </c>
      <c r="H305" s="24" t="s">
        <v>66</v>
      </c>
      <c r="I305" s="24" t="s">
        <v>686</v>
      </c>
      <c r="J305" s="24" t="s">
        <v>1618</v>
      </c>
      <c r="K305" s="24" t="s">
        <v>67</v>
      </c>
      <c r="L305" s="70">
        <v>62402.6</v>
      </c>
      <c r="M305" s="70">
        <v>62402.6</v>
      </c>
      <c r="N305" s="24" t="s">
        <v>14</v>
      </c>
      <c r="O305" s="7"/>
      <c r="P305" s="7"/>
      <c r="Q305" s="7"/>
      <c r="R305" s="7"/>
      <c r="S305" s="7"/>
      <c r="T305" s="7"/>
      <c r="U305" s="7">
        <v>0</v>
      </c>
      <c r="V305" s="7">
        <v>62402.6</v>
      </c>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8">
        <v>45807</v>
      </c>
      <c r="BQ305" s="24"/>
      <c r="BR305" s="2" t="s">
        <v>1800</v>
      </c>
      <c r="BS305" s="24"/>
      <c r="BT305" s="14">
        <f t="shared" si="15"/>
        <v>62402.6</v>
      </c>
      <c r="BU305" s="2" t="str">
        <f t="shared" si="13"/>
        <v>OK</v>
      </c>
      <c r="BV305" s="13">
        <f t="shared" si="14"/>
        <v>0</v>
      </c>
    </row>
    <row r="306" spans="1:74" s="9" customFormat="1" ht="99.95" customHeight="1" x14ac:dyDescent="0.25">
      <c r="A306" s="2" t="s">
        <v>1157</v>
      </c>
      <c r="B306" s="2" t="s">
        <v>88</v>
      </c>
      <c r="C306" s="2" t="s">
        <v>74</v>
      </c>
      <c r="D306" s="12" t="s">
        <v>1870</v>
      </c>
      <c r="E306" s="2" t="s">
        <v>90</v>
      </c>
      <c r="F306" s="2" t="s">
        <v>65</v>
      </c>
      <c r="G306" s="2" t="s">
        <v>2035</v>
      </c>
      <c r="H306" s="2" t="s">
        <v>77</v>
      </c>
      <c r="I306" s="2" t="s">
        <v>78</v>
      </c>
      <c r="J306" s="2" t="s">
        <v>87</v>
      </c>
      <c r="K306" s="2" t="s">
        <v>67</v>
      </c>
      <c r="L306" s="22">
        <v>842508.97</v>
      </c>
      <c r="M306" s="22">
        <v>339840</v>
      </c>
      <c r="N306" s="2" t="s">
        <v>39</v>
      </c>
      <c r="O306" s="7">
        <v>0</v>
      </c>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v>339840</v>
      </c>
      <c r="AV306" s="7"/>
      <c r="AW306" s="7"/>
      <c r="AX306" s="7"/>
      <c r="AY306" s="7"/>
      <c r="AZ306" s="7"/>
      <c r="BA306" s="7"/>
      <c r="BB306" s="7"/>
      <c r="BC306" s="7"/>
      <c r="BD306" s="7"/>
      <c r="BE306" s="7"/>
      <c r="BF306" s="7"/>
      <c r="BG306" s="7"/>
      <c r="BH306" s="7"/>
      <c r="BI306" s="7"/>
      <c r="BJ306" s="7"/>
      <c r="BK306" s="7"/>
      <c r="BL306" s="7"/>
      <c r="BM306" s="7"/>
      <c r="BN306" s="7"/>
      <c r="BO306" s="7"/>
      <c r="BP306" s="2"/>
      <c r="BQ306" s="8">
        <v>45779</v>
      </c>
      <c r="BR306" s="8"/>
      <c r="BS306" s="8" t="s">
        <v>1695</v>
      </c>
      <c r="BT306" s="14">
        <f t="shared" si="15"/>
        <v>339840</v>
      </c>
      <c r="BU306" s="2" t="str">
        <f t="shared" si="13"/>
        <v>OK</v>
      </c>
      <c r="BV306" s="13">
        <f t="shared" si="14"/>
        <v>0</v>
      </c>
    </row>
    <row r="307" spans="1:74" s="9" customFormat="1" ht="168.75" hidden="1" x14ac:dyDescent="0.25">
      <c r="A307" s="24" t="s">
        <v>1255</v>
      </c>
      <c r="B307" s="24" t="s">
        <v>399</v>
      </c>
      <c r="C307" s="24" t="s">
        <v>379</v>
      </c>
      <c r="D307" s="69" t="s">
        <v>1754</v>
      </c>
      <c r="E307" s="2"/>
      <c r="F307" s="24" t="s">
        <v>1691</v>
      </c>
      <c r="G307" s="24" t="s">
        <v>1673</v>
      </c>
      <c r="H307" s="24" t="s">
        <v>66</v>
      </c>
      <c r="I307" s="24" t="s">
        <v>1014</v>
      </c>
      <c r="J307" s="24" t="s">
        <v>1618</v>
      </c>
      <c r="K307" s="24" t="s">
        <v>67</v>
      </c>
      <c r="L307" s="70">
        <v>7036260</v>
      </c>
      <c r="M307" s="70">
        <v>3000000</v>
      </c>
      <c r="N307" s="24" t="s">
        <v>387</v>
      </c>
      <c r="O307" s="7"/>
      <c r="P307" s="7">
        <v>3000000</v>
      </c>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8">
        <v>45777</v>
      </c>
      <c r="BQ307" s="24"/>
      <c r="BR307" s="2" t="s">
        <v>1801</v>
      </c>
      <c r="BS307" s="24"/>
      <c r="BT307" s="14">
        <f t="shared" si="15"/>
        <v>3000000</v>
      </c>
      <c r="BU307" s="2" t="str">
        <f t="shared" si="13"/>
        <v>OK</v>
      </c>
      <c r="BV307" s="13">
        <f t="shared" si="14"/>
        <v>0</v>
      </c>
    </row>
    <row r="308" spans="1:74" s="9" customFormat="1" ht="99.95" customHeight="1" x14ac:dyDescent="0.25">
      <c r="A308" s="2" t="s">
        <v>1158</v>
      </c>
      <c r="B308" s="2" t="s">
        <v>91</v>
      </c>
      <c r="C308" s="2" t="s">
        <v>74</v>
      </c>
      <c r="D308" s="12" t="s">
        <v>1871</v>
      </c>
      <c r="E308" s="2" t="s">
        <v>93</v>
      </c>
      <c r="F308" s="2" t="s">
        <v>65</v>
      </c>
      <c r="G308" s="2" t="s">
        <v>2035</v>
      </c>
      <c r="H308" s="2" t="s">
        <v>77</v>
      </c>
      <c r="I308" s="2" t="s">
        <v>78</v>
      </c>
      <c r="J308" s="2" t="s">
        <v>94</v>
      </c>
      <c r="K308" s="2" t="s">
        <v>67</v>
      </c>
      <c r="L308" s="22">
        <v>346533.6</v>
      </c>
      <c r="M308" s="22">
        <v>226560</v>
      </c>
      <c r="N308" s="2" t="s">
        <v>39</v>
      </c>
      <c r="O308" s="7">
        <v>0</v>
      </c>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v>226560</v>
      </c>
      <c r="AV308" s="7"/>
      <c r="AW308" s="7"/>
      <c r="AX308" s="7"/>
      <c r="AY308" s="7"/>
      <c r="AZ308" s="7"/>
      <c r="BA308" s="7"/>
      <c r="BB308" s="7"/>
      <c r="BC308" s="7"/>
      <c r="BD308" s="7"/>
      <c r="BE308" s="7"/>
      <c r="BF308" s="7"/>
      <c r="BG308" s="7"/>
      <c r="BH308" s="7"/>
      <c r="BI308" s="7"/>
      <c r="BJ308" s="7"/>
      <c r="BK308" s="7"/>
      <c r="BL308" s="7"/>
      <c r="BM308" s="7"/>
      <c r="BN308" s="7"/>
      <c r="BO308" s="7"/>
      <c r="BP308" s="2"/>
      <c r="BQ308" s="8">
        <v>45779</v>
      </c>
      <c r="BR308" s="8"/>
      <c r="BS308" s="2" t="s">
        <v>1695</v>
      </c>
      <c r="BT308" s="14">
        <f t="shared" si="15"/>
        <v>226560</v>
      </c>
      <c r="BU308" s="2" t="str">
        <f t="shared" si="13"/>
        <v>OK</v>
      </c>
      <c r="BV308" s="13">
        <f t="shared" si="14"/>
        <v>0</v>
      </c>
    </row>
    <row r="309" spans="1:74" s="9" customFormat="1" ht="56.25" hidden="1" x14ac:dyDescent="0.25">
      <c r="A309" s="2" t="s">
        <v>1420</v>
      </c>
      <c r="B309" s="2" t="s">
        <v>698</v>
      </c>
      <c r="C309" s="2" t="s">
        <v>681</v>
      </c>
      <c r="D309" s="12" t="s">
        <v>699</v>
      </c>
      <c r="E309" s="2"/>
      <c r="F309" s="2" t="s">
        <v>72</v>
      </c>
      <c r="G309" s="2" t="s">
        <v>1669</v>
      </c>
      <c r="H309" s="2" t="s">
        <v>66</v>
      </c>
      <c r="I309" s="2" t="s">
        <v>686</v>
      </c>
      <c r="J309" s="2" t="s">
        <v>1618</v>
      </c>
      <c r="K309" s="2" t="s">
        <v>384</v>
      </c>
      <c r="L309" s="22">
        <v>810059.6</v>
      </c>
      <c r="M309" s="22">
        <v>810059.6</v>
      </c>
      <c r="N309" s="2" t="s">
        <v>11</v>
      </c>
      <c r="O309" s="7">
        <v>0</v>
      </c>
      <c r="P309" s="7"/>
      <c r="Q309" s="7"/>
      <c r="R309" s="7"/>
      <c r="S309" s="7">
        <v>810059.6</v>
      </c>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8">
        <v>45852</v>
      </c>
      <c r="BQ309" s="2"/>
      <c r="BR309" s="2" t="s">
        <v>1801</v>
      </c>
      <c r="BS309" s="15"/>
      <c r="BT309" s="14">
        <f t="shared" si="15"/>
        <v>810059.6</v>
      </c>
      <c r="BU309" s="2" t="str">
        <f t="shared" si="13"/>
        <v>OK</v>
      </c>
      <c r="BV309" s="13">
        <f t="shared" si="14"/>
        <v>0</v>
      </c>
    </row>
    <row r="310" spans="1:74" s="9" customFormat="1" ht="78.75" hidden="1" x14ac:dyDescent="0.25">
      <c r="A310" s="24" t="s">
        <v>1431</v>
      </c>
      <c r="B310" s="24" t="s">
        <v>948</v>
      </c>
      <c r="C310" s="24" t="s">
        <v>681</v>
      </c>
      <c r="D310" s="69" t="s">
        <v>949</v>
      </c>
      <c r="E310" s="2"/>
      <c r="F310" s="24" t="s">
        <v>65</v>
      </c>
      <c r="G310" s="24" t="s">
        <v>1669</v>
      </c>
      <c r="H310" s="24" t="s">
        <v>66</v>
      </c>
      <c r="I310" s="24" t="s">
        <v>686</v>
      </c>
      <c r="J310" s="24">
        <v>60</v>
      </c>
      <c r="K310" s="24" t="s">
        <v>67</v>
      </c>
      <c r="L310" s="70">
        <v>359940</v>
      </c>
      <c r="M310" s="70">
        <v>359940</v>
      </c>
      <c r="N310" s="24" t="s">
        <v>14</v>
      </c>
      <c r="O310" s="7"/>
      <c r="P310" s="7"/>
      <c r="Q310" s="7"/>
      <c r="R310" s="7"/>
      <c r="S310" s="7">
        <v>0</v>
      </c>
      <c r="T310" s="7"/>
      <c r="U310" s="7"/>
      <c r="V310" s="7">
        <v>359940</v>
      </c>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8">
        <v>45992</v>
      </c>
      <c r="BQ310" s="24"/>
      <c r="BR310" s="2" t="s">
        <v>1805</v>
      </c>
      <c r="BS310" s="72"/>
      <c r="BT310" s="14">
        <f t="shared" si="15"/>
        <v>359940</v>
      </c>
      <c r="BU310" s="2" t="str">
        <f t="shared" si="13"/>
        <v>OK</v>
      </c>
      <c r="BV310" s="13">
        <f t="shared" si="14"/>
        <v>0</v>
      </c>
    </row>
    <row r="311" spans="1:74" s="9" customFormat="1" ht="99.95" customHeight="1" x14ac:dyDescent="0.25">
      <c r="A311" s="2" t="s">
        <v>1160</v>
      </c>
      <c r="B311" s="2" t="s">
        <v>97</v>
      </c>
      <c r="C311" s="2" t="s">
        <v>74</v>
      </c>
      <c r="D311" s="12" t="s">
        <v>1872</v>
      </c>
      <c r="E311" s="3" t="s">
        <v>99</v>
      </c>
      <c r="F311" s="2" t="s">
        <v>65</v>
      </c>
      <c r="G311" s="2" t="s">
        <v>2035</v>
      </c>
      <c r="H311" s="2" t="s">
        <v>77</v>
      </c>
      <c r="I311" s="2" t="s">
        <v>78</v>
      </c>
      <c r="J311" s="2" t="s">
        <v>100</v>
      </c>
      <c r="K311" s="2" t="s">
        <v>67</v>
      </c>
      <c r="L311" s="22">
        <v>3710875.77</v>
      </c>
      <c r="M311" s="22">
        <v>1472640</v>
      </c>
      <c r="N311" s="2" t="s">
        <v>39</v>
      </c>
      <c r="O311" s="7">
        <v>0</v>
      </c>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v>1472640</v>
      </c>
      <c r="AV311" s="7"/>
      <c r="AW311" s="7"/>
      <c r="AX311" s="7"/>
      <c r="AY311" s="7"/>
      <c r="AZ311" s="7"/>
      <c r="BA311" s="7"/>
      <c r="BB311" s="7"/>
      <c r="BC311" s="7"/>
      <c r="BD311" s="7"/>
      <c r="BE311" s="7"/>
      <c r="BF311" s="7"/>
      <c r="BG311" s="7"/>
      <c r="BH311" s="7"/>
      <c r="BI311" s="7"/>
      <c r="BJ311" s="7"/>
      <c r="BK311" s="7"/>
      <c r="BL311" s="7"/>
      <c r="BM311" s="7"/>
      <c r="BN311" s="7"/>
      <c r="BO311" s="7"/>
      <c r="BP311" s="2"/>
      <c r="BQ311" s="8">
        <v>45779</v>
      </c>
      <c r="BR311" s="8"/>
      <c r="BS311" s="8" t="s">
        <v>1697</v>
      </c>
      <c r="BT311" s="14">
        <f t="shared" si="15"/>
        <v>1472640</v>
      </c>
      <c r="BU311" s="2" t="str">
        <f t="shared" si="13"/>
        <v>OK</v>
      </c>
      <c r="BV311" s="13">
        <f t="shared" si="14"/>
        <v>0</v>
      </c>
    </row>
    <row r="312" spans="1:74" s="9" customFormat="1" ht="157.5" hidden="1" x14ac:dyDescent="0.25">
      <c r="A312" s="2" t="s">
        <v>1268</v>
      </c>
      <c r="B312" s="2" t="s">
        <v>390</v>
      </c>
      <c r="C312" s="2" t="s">
        <v>379</v>
      </c>
      <c r="D312" s="12" t="s">
        <v>391</v>
      </c>
      <c r="E312" s="2"/>
      <c r="F312" s="2" t="s">
        <v>72</v>
      </c>
      <c r="G312" s="2" t="s">
        <v>1669</v>
      </c>
      <c r="H312" s="2" t="s">
        <v>66</v>
      </c>
      <c r="I312" s="2" t="s">
        <v>686</v>
      </c>
      <c r="J312" s="2" t="s">
        <v>1618</v>
      </c>
      <c r="K312" s="2" t="s">
        <v>384</v>
      </c>
      <c r="L312" s="22">
        <v>12720845.720000001</v>
      </c>
      <c r="M312" s="22">
        <v>500000</v>
      </c>
      <c r="N312" s="2" t="s">
        <v>392</v>
      </c>
      <c r="O312" s="7"/>
      <c r="P312" s="7">
        <v>500000</v>
      </c>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8">
        <v>46021</v>
      </c>
      <c r="BQ312" s="2"/>
      <c r="BR312" s="2" t="s">
        <v>1803</v>
      </c>
      <c r="BS312" s="2" t="s">
        <v>1780</v>
      </c>
      <c r="BT312" s="14">
        <f t="shared" si="15"/>
        <v>500000</v>
      </c>
      <c r="BU312" s="2" t="str">
        <f t="shared" si="13"/>
        <v>OK</v>
      </c>
      <c r="BV312" s="13">
        <f t="shared" si="14"/>
        <v>0</v>
      </c>
    </row>
    <row r="313" spans="1:74" s="9" customFormat="1" ht="67.5" hidden="1" x14ac:dyDescent="0.25">
      <c r="A313" s="2" t="s">
        <v>1219</v>
      </c>
      <c r="B313" s="2" t="s">
        <v>1116</v>
      </c>
      <c r="C313" s="2" t="s">
        <v>274</v>
      </c>
      <c r="D313" s="12" t="s">
        <v>1117</v>
      </c>
      <c r="E313" s="2"/>
      <c r="F313" s="2" t="s">
        <v>72</v>
      </c>
      <c r="G313" s="2" t="s">
        <v>1662</v>
      </c>
      <c r="H313" s="2" t="s">
        <v>66</v>
      </c>
      <c r="I313" s="2" t="s">
        <v>686</v>
      </c>
      <c r="J313" s="2" t="s">
        <v>1618</v>
      </c>
      <c r="K313" s="2" t="s">
        <v>67</v>
      </c>
      <c r="L313" s="43">
        <v>1500000</v>
      </c>
      <c r="M313" s="22">
        <v>1500000</v>
      </c>
      <c r="N313" s="2" t="s">
        <v>40</v>
      </c>
      <c r="O313" s="7">
        <v>0</v>
      </c>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v>1500000</v>
      </c>
      <c r="AW313" s="7"/>
      <c r="AX313" s="7"/>
      <c r="AY313" s="7"/>
      <c r="AZ313" s="7"/>
      <c r="BA313" s="7"/>
      <c r="BB313" s="7"/>
      <c r="BC313" s="7"/>
      <c r="BD313" s="7"/>
      <c r="BE313" s="7"/>
      <c r="BF313" s="7"/>
      <c r="BG313" s="7"/>
      <c r="BH313" s="7"/>
      <c r="BI313" s="7"/>
      <c r="BJ313" s="7"/>
      <c r="BK313" s="7"/>
      <c r="BL313" s="7"/>
      <c r="BM313" s="7"/>
      <c r="BN313" s="7"/>
      <c r="BO313" s="7"/>
      <c r="BP313" s="8">
        <v>45853</v>
      </c>
      <c r="BQ313" s="2"/>
      <c r="BR313" s="2" t="s">
        <v>1799</v>
      </c>
      <c r="BS313" s="2"/>
      <c r="BT313" s="14">
        <f t="shared" si="15"/>
        <v>1500000</v>
      </c>
      <c r="BU313" s="2" t="str">
        <f t="shared" si="13"/>
        <v>OK</v>
      </c>
      <c r="BV313" s="13">
        <f t="shared" si="14"/>
        <v>0</v>
      </c>
    </row>
    <row r="314" spans="1:74" s="9" customFormat="1" ht="123.75" hidden="1" x14ac:dyDescent="0.25">
      <c r="A314" s="2" t="s">
        <v>1232</v>
      </c>
      <c r="B314" s="2" t="s">
        <v>388</v>
      </c>
      <c r="C314" s="2" t="s">
        <v>342</v>
      </c>
      <c r="D314" s="12" t="s">
        <v>389</v>
      </c>
      <c r="E314" s="2"/>
      <c r="F314" s="2" t="s">
        <v>72</v>
      </c>
      <c r="G314" s="2" t="s">
        <v>1639</v>
      </c>
      <c r="H314" s="2" t="s">
        <v>66</v>
      </c>
      <c r="I314" s="2" t="s">
        <v>1663</v>
      </c>
      <c r="J314" s="2" t="s">
        <v>1618</v>
      </c>
      <c r="K314" s="2" t="s">
        <v>67</v>
      </c>
      <c r="L314" s="22">
        <v>367867258.07999998</v>
      </c>
      <c r="M314" s="22">
        <v>154933629.03999999</v>
      </c>
      <c r="N314" s="2" t="s">
        <v>1139</v>
      </c>
      <c r="O314" s="7"/>
      <c r="P314" s="7"/>
      <c r="Q314" s="7"/>
      <c r="R314" s="7"/>
      <c r="S314" s="7"/>
      <c r="T314" s="7"/>
      <c r="U314" s="7"/>
      <c r="V314" s="7"/>
      <c r="W314" s="7"/>
      <c r="X314" s="7"/>
      <c r="Y314" s="7"/>
      <c r="Z314" s="7"/>
      <c r="AA314" s="7"/>
      <c r="AB314" s="7"/>
      <c r="AC314" s="7"/>
      <c r="AD314" s="7">
        <v>78966814.519999996</v>
      </c>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v>29786725.809999999</v>
      </c>
      <c r="BE314" s="7">
        <v>46180088.710000001</v>
      </c>
      <c r="BF314" s="7"/>
      <c r="BG314" s="7"/>
      <c r="BH314" s="7"/>
      <c r="BI314" s="7"/>
      <c r="BJ314" s="7"/>
      <c r="BK314" s="7"/>
      <c r="BL314" s="7"/>
      <c r="BM314" s="7"/>
      <c r="BN314" s="7"/>
      <c r="BO314" s="7"/>
      <c r="BP314" s="8">
        <v>45691</v>
      </c>
      <c r="BQ314" s="2"/>
      <c r="BR314" s="2" t="s">
        <v>1801</v>
      </c>
      <c r="BS314" s="2"/>
      <c r="BT314" s="14">
        <f t="shared" si="15"/>
        <v>154933629.03999999</v>
      </c>
      <c r="BU314" s="2" t="str">
        <f t="shared" si="13"/>
        <v>OK</v>
      </c>
      <c r="BV314" s="13">
        <f t="shared" si="14"/>
        <v>0</v>
      </c>
    </row>
    <row r="315" spans="1:74" s="9" customFormat="1" ht="78.75" hidden="1" x14ac:dyDescent="0.25">
      <c r="A315" s="2" t="s">
        <v>1234</v>
      </c>
      <c r="B315" s="2" t="s">
        <v>1128</v>
      </c>
      <c r="C315" s="2" t="s">
        <v>342</v>
      </c>
      <c r="D315" s="12" t="s">
        <v>1129</v>
      </c>
      <c r="E315" s="2"/>
      <c r="F315" s="2" t="s">
        <v>72</v>
      </c>
      <c r="G315" s="2" t="s">
        <v>1639</v>
      </c>
      <c r="H315" s="2" t="s">
        <v>66</v>
      </c>
      <c r="I315" s="2" t="s">
        <v>686</v>
      </c>
      <c r="J315" s="2" t="s">
        <v>1618</v>
      </c>
      <c r="K315" s="2" t="s">
        <v>67</v>
      </c>
      <c r="L315" s="7">
        <v>29228797.57</v>
      </c>
      <c r="M315" s="22">
        <v>9742932.5199999996</v>
      </c>
      <c r="N315" s="2" t="s">
        <v>1849</v>
      </c>
      <c r="O315" s="7"/>
      <c r="P315" s="7"/>
      <c r="Q315" s="7"/>
      <c r="R315" s="7"/>
      <c r="S315" s="7"/>
      <c r="T315" s="7"/>
      <c r="U315" s="7"/>
      <c r="V315" s="7"/>
      <c r="W315" s="7"/>
      <c r="X315" s="7"/>
      <c r="Y315" s="7"/>
      <c r="Z315" s="7">
        <v>4871466.26</v>
      </c>
      <c r="AA315" s="7">
        <v>4871466.26</v>
      </c>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8">
        <v>45691</v>
      </c>
      <c r="BQ315" s="2"/>
      <c r="BR315" s="2" t="s">
        <v>1802</v>
      </c>
      <c r="BS315" s="2"/>
      <c r="BT315" s="14">
        <f t="shared" si="15"/>
        <v>9742932.5199999996</v>
      </c>
      <c r="BU315" s="2" t="str">
        <f t="shared" si="13"/>
        <v>OK</v>
      </c>
      <c r="BV315" s="13">
        <f t="shared" si="14"/>
        <v>0</v>
      </c>
    </row>
    <row r="316" spans="1:74" s="9" customFormat="1" ht="33.75" hidden="1" x14ac:dyDescent="0.25">
      <c r="A316" s="2" t="s">
        <v>1513</v>
      </c>
      <c r="B316" s="2" t="s">
        <v>733</v>
      </c>
      <c r="C316" s="2" t="s">
        <v>681</v>
      </c>
      <c r="D316" s="12" t="s">
        <v>1809</v>
      </c>
      <c r="E316" s="2"/>
      <c r="F316" s="2" t="s">
        <v>72</v>
      </c>
      <c r="G316" s="2" t="s">
        <v>1639</v>
      </c>
      <c r="H316" s="2" t="s">
        <v>66</v>
      </c>
      <c r="I316" s="2" t="s">
        <v>1618</v>
      </c>
      <c r="J316" s="2" t="s">
        <v>1618</v>
      </c>
      <c r="K316" s="2" t="s">
        <v>67</v>
      </c>
      <c r="L316" s="22">
        <v>13460</v>
      </c>
      <c r="M316" s="22">
        <v>13460</v>
      </c>
      <c r="N316" s="2" t="s">
        <v>14</v>
      </c>
      <c r="O316" s="7">
        <v>0</v>
      </c>
      <c r="P316" s="7"/>
      <c r="Q316" s="7"/>
      <c r="R316" s="7"/>
      <c r="S316" s="7"/>
      <c r="T316" s="7"/>
      <c r="U316" s="7"/>
      <c r="V316" s="7">
        <v>13460</v>
      </c>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8">
        <v>45749</v>
      </c>
      <c r="BQ316" s="2"/>
      <c r="BR316" s="2" t="s">
        <v>1798</v>
      </c>
      <c r="BS316" s="2"/>
      <c r="BT316" s="14">
        <f t="shared" si="15"/>
        <v>13460</v>
      </c>
      <c r="BU316" s="2" t="str">
        <f t="shared" si="13"/>
        <v>OK</v>
      </c>
      <c r="BV316" s="13">
        <f t="shared" si="14"/>
        <v>0</v>
      </c>
    </row>
    <row r="317" spans="1:74" s="9" customFormat="1" ht="78.75" hidden="1" x14ac:dyDescent="0.25">
      <c r="A317" s="2" t="s">
        <v>1568</v>
      </c>
      <c r="B317" s="2" t="s">
        <v>1060</v>
      </c>
      <c r="C317" s="2" t="s">
        <v>1051</v>
      </c>
      <c r="D317" s="12" t="s">
        <v>1061</v>
      </c>
      <c r="E317" s="2"/>
      <c r="F317" s="2" t="s">
        <v>72</v>
      </c>
      <c r="G317" s="2" t="s">
        <v>1639</v>
      </c>
      <c r="H317" s="2" t="s">
        <v>66</v>
      </c>
      <c r="I317" s="2" t="s">
        <v>686</v>
      </c>
      <c r="J317" s="2" t="s">
        <v>1618</v>
      </c>
      <c r="K317" s="2" t="s">
        <v>67</v>
      </c>
      <c r="L317" s="22">
        <v>40000</v>
      </c>
      <c r="M317" s="22">
        <v>40000</v>
      </c>
      <c r="N317" s="2" t="s">
        <v>33</v>
      </c>
      <c r="O317" s="7">
        <v>0</v>
      </c>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v>15000</v>
      </c>
      <c r="AP317" s="7"/>
      <c r="AQ317" s="7"/>
      <c r="AR317" s="7"/>
      <c r="AS317" s="7"/>
      <c r="AT317" s="7"/>
      <c r="AU317" s="7"/>
      <c r="AV317" s="7"/>
      <c r="AW317" s="7"/>
      <c r="AX317" s="7"/>
      <c r="AY317" s="7"/>
      <c r="AZ317" s="7"/>
      <c r="BA317" s="7"/>
      <c r="BB317" s="7"/>
      <c r="BC317" s="7"/>
      <c r="BD317" s="7"/>
      <c r="BE317" s="7"/>
      <c r="BF317" s="7"/>
      <c r="BG317" s="7"/>
      <c r="BH317" s="7"/>
      <c r="BI317" s="7"/>
      <c r="BJ317" s="7"/>
      <c r="BK317" s="7"/>
      <c r="BL317" s="7"/>
      <c r="BM317" s="7"/>
      <c r="BN317" s="7"/>
      <c r="BO317" s="7"/>
      <c r="BP317" s="8">
        <v>45762</v>
      </c>
      <c r="BQ317" s="2"/>
      <c r="BR317" s="2" t="s">
        <v>1798</v>
      </c>
      <c r="BS317" s="2"/>
      <c r="BT317" s="14">
        <f t="shared" si="15"/>
        <v>15000</v>
      </c>
      <c r="BU317" s="2" t="str">
        <f t="shared" si="13"/>
        <v>CORRIGIR</v>
      </c>
      <c r="BV317" s="13">
        <f t="shared" si="14"/>
        <v>25000</v>
      </c>
    </row>
    <row r="318" spans="1:74" s="9" customFormat="1" ht="45" hidden="1" x14ac:dyDescent="0.25">
      <c r="A318" s="24" t="s">
        <v>1375</v>
      </c>
      <c r="B318" s="24" t="s">
        <v>660</v>
      </c>
      <c r="C318" s="24" t="s">
        <v>552</v>
      </c>
      <c r="D318" s="69" t="s">
        <v>661</v>
      </c>
      <c r="E318" s="2"/>
      <c r="F318" s="24" t="s">
        <v>65</v>
      </c>
      <c r="G318" s="24" t="s">
        <v>1639</v>
      </c>
      <c r="H318" s="24" t="s">
        <v>66</v>
      </c>
      <c r="I318" s="24" t="s">
        <v>686</v>
      </c>
      <c r="J318" s="24">
        <v>1</v>
      </c>
      <c r="K318" s="24" t="s">
        <v>67</v>
      </c>
      <c r="L318" s="70">
        <v>57850</v>
      </c>
      <c r="M318" s="70">
        <v>4450</v>
      </c>
      <c r="N318" s="24" t="s">
        <v>14</v>
      </c>
      <c r="O318" s="7"/>
      <c r="P318" s="7"/>
      <c r="Q318" s="7"/>
      <c r="R318" s="7"/>
      <c r="S318" s="7"/>
      <c r="T318" s="7"/>
      <c r="U318" s="7"/>
      <c r="V318" s="7">
        <v>4450</v>
      </c>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v>0</v>
      </c>
      <c r="BE318" s="7">
        <v>0</v>
      </c>
      <c r="BF318" s="7"/>
      <c r="BG318" s="7"/>
      <c r="BH318" s="7"/>
      <c r="BI318" s="7"/>
      <c r="BJ318" s="7"/>
      <c r="BK318" s="7"/>
      <c r="BL318" s="7"/>
      <c r="BM318" s="7"/>
      <c r="BN318" s="7"/>
      <c r="BO318" s="7"/>
      <c r="BP318" s="8">
        <v>45807</v>
      </c>
      <c r="BQ318" s="24"/>
      <c r="BR318" s="2" t="s">
        <v>1800</v>
      </c>
      <c r="BS318" s="24"/>
      <c r="BT318" s="14">
        <f t="shared" si="15"/>
        <v>4450</v>
      </c>
      <c r="BU318" s="2" t="str">
        <f t="shared" si="13"/>
        <v>OK</v>
      </c>
      <c r="BV318" s="13">
        <f t="shared" si="14"/>
        <v>0</v>
      </c>
    </row>
    <row r="319" spans="1:74" s="9" customFormat="1" ht="99.95" customHeight="1" x14ac:dyDescent="0.25">
      <c r="A319" s="2" t="s">
        <v>1161</v>
      </c>
      <c r="B319" s="2" t="s">
        <v>101</v>
      </c>
      <c r="C319" s="2" t="s">
        <v>74</v>
      </c>
      <c r="D319" s="12" t="s">
        <v>1873</v>
      </c>
      <c r="E319" s="3" t="s">
        <v>103</v>
      </c>
      <c r="F319" s="2" t="s">
        <v>65</v>
      </c>
      <c r="G319" s="2" t="s">
        <v>2035</v>
      </c>
      <c r="H319" s="2" t="s">
        <v>77</v>
      </c>
      <c r="I319" s="2" t="s">
        <v>78</v>
      </c>
      <c r="J319" s="2" t="s">
        <v>100</v>
      </c>
      <c r="K319" s="2" t="s">
        <v>67</v>
      </c>
      <c r="L319" s="22">
        <v>3539593.2</v>
      </c>
      <c r="M319" s="22">
        <v>1472640</v>
      </c>
      <c r="N319" s="2" t="s">
        <v>39</v>
      </c>
      <c r="O319" s="7">
        <v>0</v>
      </c>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v>1472640</v>
      </c>
      <c r="AV319" s="7"/>
      <c r="AW319" s="7"/>
      <c r="AX319" s="7"/>
      <c r="AY319" s="7"/>
      <c r="AZ319" s="7"/>
      <c r="BA319" s="7"/>
      <c r="BB319" s="7"/>
      <c r="BC319" s="7"/>
      <c r="BD319" s="7"/>
      <c r="BE319" s="7"/>
      <c r="BF319" s="7"/>
      <c r="BG319" s="7"/>
      <c r="BH319" s="7"/>
      <c r="BI319" s="7"/>
      <c r="BJ319" s="7"/>
      <c r="BK319" s="7"/>
      <c r="BL319" s="7"/>
      <c r="BM319" s="7"/>
      <c r="BN319" s="7"/>
      <c r="BO319" s="7"/>
      <c r="BP319" s="2"/>
      <c r="BQ319" s="8">
        <v>45779</v>
      </c>
      <c r="BR319" s="8"/>
      <c r="BS319" s="2" t="s">
        <v>1697</v>
      </c>
      <c r="BT319" s="14">
        <f t="shared" si="15"/>
        <v>1472640</v>
      </c>
      <c r="BU319" s="2" t="str">
        <f t="shared" si="13"/>
        <v>OK</v>
      </c>
      <c r="BV319" s="13">
        <f t="shared" si="14"/>
        <v>0</v>
      </c>
    </row>
    <row r="320" spans="1:74" s="9" customFormat="1" ht="101.25" hidden="1" x14ac:dyDescent="0.25">
      <c r="A320" s="24" t="s">
        <v>1390</v>
      </c>
      <c r="B320" s="24" t="s">
        <v>881</v>
      </c>
      <c r="C320" s="24" t="s">
        <v>681</v>
      </c>
      <c r="D320" s="69" t="s">
        <v>1832</v>
      </c>
      <c r="E320" s="2"/>
      <c r="F320" s="24" t="s">
        <v>882</v>
      </c>
      <c r="G320" s="24" t="s">
        <v>1639</v>
      </c>
      <c r="H320" s="24" t="s">
        <v>66</v>
      </c>
      <c r="I320" s="24" t="s">
        <v>1618</v>
      </c>
      <c r="J320" s="24" t="s">
        <v>1618</v>
      </c>
      <c r="K320" s="24" t="s">
        <v>67</v>
      </c>
      <c r="L320" s="70">
        <v>8877915</v>
      </c>
      <c r="M320" s="70">
        <v>8877915</v>
      </c>
      <c r="N320" s="24" t="s">
        <v>14</v>
      </c>
      <c r="O320" s="7">
        <v>0</v>
      </c>
      <c r="P320" s="7"/>
      <c r="Q320" s="7"/>
      <c r="R320" s="7"/>
      <c r="S320" s="7"/>
      <c r="T320" s="7"/>
      <c r="U320" s="7"/>
      <c r="V320" s="7">
        <f>M320</f>
        <v>8877915</v>
      </c>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c r="AY320" s="7"/>
      <c r="AZ320" s="7"/>
      <c r="BA320" s="7"/>
      <c r="BB320" s="7"/>
      <c r="BC320" s="7"/>
      <c r="BD320" s="7"/>
      <c r="BE320" s="7"/>
      <c r="BF320" s="7"/>
      <c r="BG320" s="7"/>
      <c r="BH320" s="7"/>
      <c r="BI320" s="7"/>
      <c r="BJ320" s="7"/>
      <c r="BK320" s="7"/>
      <c r="BL320" s="7"/>
      <c r="BM320" s="7"/>
      <c r="BN320" s="7"/>
      <c r="BO320" s="7"/>
      <c r="BP320" s="8">
        <v>45810</v>
      </c>
      <c r="BQ320" s="24"/>
      <c r="BR320" s="2" t="s">
        <v>1806</v>
      </c>
      <c r="BS320" s="72"/>
      <c r="BT320" s="14">
        <f t="shared" si="15"/>
        <v>8877915</v>
      </c>
      <c r="BU320" s="2" t="str">
        <f t="shared" si="13"/>
        <v>OK</v>
      </c>
      <c r="BV320" s="13">
        <f t="shared" si="14"/>
        <v>0</v>
      </c>
    </row>
    <row r="321" spans="1:74" s="9" customFormat="1" ht="99.95" customHeight="1" x14ac:dyDescent="0.25">
      <c r="A321" s="2" t="s">
        <v>1169</v>
      </c>
      <c r="B321" s="2" t="s">
        <v>132</v>
      </c>
      <c r="C321" s="2" t="s">
        <v>74</v>
      </c>
      <c r="D321" s="12" t="s">
        <v>133</v>
      </c>
      <c r="E321" s="2" t="s">
        <v>134</v>
      </c>
      <c r="F321" s="2" t="s">
        <v>65</v>
      </c>
      <c r="G321" s="2" t="s">
        <v>2035</v>
      </c>
      <c r="H321" s="2" t="s">
        <v>77</v>
      </c>
      <c r="I321" s="2" t="s">
        <v>78</v>
      </c>
      <c r="J321" s="2" t="s">
        <v>135</v>
      </c>
      <c r="K321" s="2" t="s">
        <v>67</v>
      </c>
      <c r="L321" s="22">
        <v>924427.1</v>
      </c>
      <c r="M321" s="22">
        <v>792960</v>
      </c>
      <c r="N321" s="2" t="s">
        <v>39</v>
      </c>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v>792960</v>
      </c>
      <c r="AV321" s="7"/>
      <c r="AW321" s="7"/>
      <c r="AX321" s="7"/>
      <c r="AY321" s="7"/>
      <c r="AZ321" s="7"/>
      <c r="BA321" s="7"/>
      <c r="BB321" s="7"/>
      <c r="BC321" s="7"/>
      <c r="BD321" s="7"/>
      <c r="BE321" s="7"/>
      <c r="BF321" s="7"/>
      <c r="BG321" s="7"/>
      <c r="BH321" s="7"/>
      <c r="BI321" s="7"/>
      <c r="BJ321" s="7"/>
      <c r="BK321" s="7"/>
      <c r="BL321" s="7"/>
      <c r="BM321" s="7"/>
      <c r="BN321" s="7"/>
      <c r="BO321" s="7"/>
      <c r="BP321" s="2"/>
      <c r="BQ321" s="8">
        <v>45779</v>
      </c>
      <c r="BR321" s="8"/>
      <c r="BS321" s="8" t="s">
        <v>1695</v>
      </c>
      <c r="BT321" s="14">
        <f t="shared" si="15"/>
        <v>792960</v>
      </c>
      <c r="BU321" s="2" t="str">
        <f t="shared" si="13"/>
        <v>OK</v>
      </c>
      <c r="BV321" s="13">
        <f t="shared" si="14"/>
        <v>0</v>
      </c>
    </row>
    <row r="322" spans="1:74" s="9" customFormat="1" ht="99.95" customHeight="1" x14ac:dyDescent="0.25">
      <c r="A322" s="2" t="s">
        <v>1170</v>
      </c>
      <c r="B322" s="2" t="s">
        <v>136</v>
      </c>
      <c r="C322" s="2" t="s">
        <v>74</v>
      </c>
      <c r="D322" s="12" t="s">
        <v>1874</v>
      </c>
      <c r="E322" s="2" t="s">
        <v>138</v>
      </c>
      <c r="F322" s="2" t="s">
        <v>65</v>
      </c>
      <c r="G322" s="2" t="s">
        <v>2035</v>
      </c>
      <c r="H322" s="2" t="s">
        <v>77</v>
      </c>
      <c r="I322" s="2" t="s">
        <v>78</v>
      </c>
      <c r="J322" s="2" t="s">
        <v>139</v>
      </c>
      <c r="K322" s="2" t="s">
        <v>67</v>
      </c>
      <c r="L322" s="22">
        <v>261434.94</v>
      </c>
      <c r="M322" s="22">
        <v>198240</v>
      </c>
      <c r="N322" s="2" t="s">
        <v>39</v>
      </c>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U322" s="7">
        <v>198240</v>
      </c>
      <c r="AV322" s="7"/>
      <c r="AW322" s="7"/>
      <c r="AX322" s="7"/>
      <c r="AY322" s="7"/>
      <c r="AZ322" s="7"/>
      <c r="BA322" s="7"/>
      <c r="BB322" s="7"/>
      <c r="BC322" s="7"/>
      <c r="BD322" s="7"/>
      <c r="BE322" s="7"/>
      <c r="BF322" s="7"/>
      <c r="BG322" s="7"/>
      <c r="BH322" s="7"/>
      <c r="BI322" s="7"/>
      <c r="BJ322" s="7"/>
      <c r="BK322" s="7"/>
      <c r="BL322" s="7"/>
      <c r="BM322" s="7"/>
      <c r="BN322" s="7"/>
      <c r="BO322" s="7"/>
      <c r="BP322" s="2"/>
      <c r="BQ322" s="8">
        <v>45779</v>
      </c>
      <c r="BR322" s="8"/>
      <c r="BS322" s="8" t="s">
        <v>1695</v>
      </c>
      <c r="BT322" s="14">
        <f t="shared" si="15"/>
        <v>198240</v>
      </c>
      <c r="BU322" s="2" t="str">
        <f t="shared" si="13"/>
        <v>OK</v>
      </c>
      <c r="BV322" s="13">
        <f t="shared" si="14"/>
        <v>0</v>
      </c>
    </row>
    <row r="323" spans="1:74" s="9" customFormat="1" ht="67.5" hidden="1" x14ac:dyDescent="0.25">
      <c r="A323" s="24" t="s">
        <v>1419</v>
      </c>
      <c r="B323" s="24" t="s">
        <v>742</v>
      </c>
      <c r="C323" s="24" t="s">
        <v>681</v>
      </c>
      <c r="D323" s="69" t="s">
        <v>743</v>
      </c>
      <c r="E323" s="2"/>
      <c r="F323" s="24" t="s">
        <v>72</v>
      </c>
      <c r="G323" s="24" t="s">
        <v>1677</v>
      </c>
      <c r="H323" s="24" t="s">
        <v>66</v>
      </c>
      <c r="I323" s="24" t="s">
        <v>686</v>
      </c>
      <c r="J323" s="24" t="s">
        <v>1618</v>
      </c>
      <c r="K323" s="24" t="s">
        <v>67</v>
      </c>
      <c r="L323" s="70">
        <v>7321203.5999999996</v>
      </c>
      <c r="M323" s="70">
        <v>732120.36</v>
      </c>
      <c r="N323" s="24" t="s">
        <v>14</v>
      </c>
      <c r="O323" s="7">
        <v>0</v>
      </c>
      <c r="P323" s="7"/>
      <c r="Q323" s="7"/>
      <c r="R323" s="7"/>
      <c r="S323" s="7"/>
      <c r="T323" s="7"/>
      <c r="U323" s="7"/>
      <c r="V323" s="7">
        <v>732120.36</v>
      </c>
      <c r="W323" s="7"/>
      <c r="X323" s="7"/>
      <c r="Y323" s="7"/>
      <c r="Z323" s="7"/>
      <c r="AA323" s="7"/>
      <c r="AB323" s="7"/>
      <c r="AC323" s="7"/>
      <c r="AD323" s="7"/>
      <c r="AE323" s="7"/>
      <c r="AF323" s="7"/>
      <c r="AG323" s="7"/>
      <c r="AH323" s="7"/>
      <c r="AI323" s="7"/>
      <c r="AJ323" s="7"/>
      <c r="AK323" s="7"/>
      <c r="AL323" s="7"/>
      <c r="AM323" s="7"/>
      <c r="AN323" s="7"/>
      <c r="AO323" s="7"/>
      <c r="AP323" s="7"/>
      <c r="AQ323" s="7"/>
      <c r="AR323" s="7"/>
      <c r="AS323" s="7"/>
      <c r="AT323" s="7"/>
      <c r="AU323" s="7"/>
      <c r="AV323" s="7"/>
      <c r="AW323" s="7"/>
      <c r="AX323" s="7"/>
      <c r="AY323" s="7"/>
      <c r="AZ323" s="7"/>
      <c r="BA323" s="7"/>
      <c r="BB323" s="7"/>
      <c r="BC323" s="7"/>
      <c r="BD323" s="7"/>
      <c r="BE323" s="7"/>
      <c r="BF323" s="7"/>
      <c r="BG323" s="7"/>
      <c r="BH323" s="7"/>
      <c r="BI323" s="7"/>
      <c r="BJ323" s="7"/>
      <c r="BK323" s="7"/>
      <c r="BL323" s="7"/>
      <c r="BM323" s="7"/>
      <c r="BN323" s="7"/>
      <c r="BO323" s="7"/>
      <c r="BP323" s="8">
        <v>45831</v>
      </c>
      <c r="BQ323" s="24"/>
      <c r="BR323" s="2" t="s">
        <v>1801</v>
      </c>
      <c r="BS323" s="72"/>
      <c r="BT323" s="14">
        <f t="shared" si="15"/>
        <v>732120.36</v>
      </c>
      <c r="BU323" s="2" t="str">
        <f t="shared" si="13"/>
        <v>OK</v>
      </c>
      <c r="BV323" s="13">
        <f t="shared" si="14"/>
        <v>0</v>
      </c>
    </row>
    <row r="324" spans="1:74" s="9" customFormat="1" ht="99.95" customHeight="1" x14ac:dyDescent="0.25">
      <c r="A324" s="2" t="s">
        <v>1171</v>
      </c>
      <c r="B324" s="2" t="s">
        <v>140</v>
      </c>
      <c r="C324" s="2" t="s">
        <v>74</v>
      </c>
      <c r="D324" s="12" t="s">
        <v>1875</v>
      </c>
      <c r="E324" s="2" t="s">
        <v>142</v>
      </c>
      <c r="F324" s="2" t="s">
        <v>65</v>
      </c>
      <c r="G324" s="2" t="s">
        <v>2035</v>
      </c>
      <c r="H324" s="2" t="s">
        <v>77</v>
      </c>
      <c r="I324" s="2" t="s">
        <v>78</v>
      </c>
      <c r="J324" s="2" t="s">
        <v>143</v>
      </c>
      <c r="K324" s="2" t="s">
        <v>67</v>
      </c>
      <c r="L324" s="22">
        <v>173266.8</v>
      </c>
      <c r="M324" s="22">
        <v>113280</v>
      </c>
      <c r="N324" s="2" t="s">
        <v>39</v>
      </c>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c r="AT324" s="7"/>
      <c r="AU324" s="7">
        <v>113280</v>
      </c>
      <c r="AV324" s="7"/>
      <c r="AW324" s="7"/>
      <c r="AX324" s="7"/>
      <c r="AY324" s="7"/>
      <c r="AZ324" s="7"/>
      <c r="BA324" s="7"/>
      <c r="BB324" s="7"/>
      <c r="BC324" s="7"/>
      <c r="BD324" s="7"/>
      <c r="BE324" s="7"/>
      <c r="BF324" s="7"/>
      <c r="BG324" s="7"/>
      <c r="BH324" s="7"/>
      <c r="BI324" s="7"/>
      <c r="BJ324" s="7"/>
      <c r="BK324" s="7"/>
      <c r="BL324" s="7"/>
      <c r="BM324" s="7"/>
      <c r="BN324" s="7"/>
      <c r="BO324" s="7"/>
      <c r="BP324" s="2"/>
      <c r="BQ324" s="8">
        <v>45779</v>
      </c>
      <c r="BR324" s="8"/>
      <c r="BS324" s="8" t="s">
        <v>1695</v>
      </c>
      <c r="BT324" s="14">
        <f t="shared" si="15"/>
        <v>113280</v>
      </c>
      <c r="BU324" s="2" t="str">
        <f t="shared" si="13"/>
        <v>OK</v>
      </c>
      <c r="BV324" s="13">
        <f t="shared" si="14"/>
        <v>0</v>
      </c>
    </row>
    <row r="325" spans="1:74" s="9" customFormat="1" ht="99.95" customHeight="1" x14ac:dyDescent="0.25">
      <c r="A325" s="2" t="s">
        <v>1172</v>
      </c>
      <c r="B325" s="2" t="s">
        <v>144</v>
      </c>
      <c r="C325" s="2" t="s">
        <v>74</v>
      </c>
      <c r="D325" s="12" t="s">
        <v>1876</v>
      </c>
      <c r="E325" s="2" t="s">
        <v>146</v>
      </c>
      <c r="F325" s="2" t="s">
        <v>65</v>
      </c>
      <c r="G325" s="2" t="s">
        <v>2035</v>
      </c>
      <c r="H325" s="2" t="s">
        <v>77</v>
      </c>
      <c r="I325" s="2" t="s">
        <v>78</v>
      </c>
      <c r="J325" s="2" t="s">
        <v>147</v>
      </c>
      <c r="K325" s="2" t="s">
        <v>67</v>
      </c>
      <c r="L325" s="22">
        <v>693067.2</v>
      </c>
      <c r="M325" s="22">
        <v>453120</v>
      </c>
      <c r="N325" s="2" t="s">
        <v>39</v>
      </c>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c r="AT325" s="7"/>
      <c r="AU325" s="7">
        <v>453120</v>
      </c>
      <c r="AV325" s="7"/>
      <c r="AW325" s="7"/>
      <c r="AX325" s="7"/>
      <c r="AY325" s="7"/>
      <c r="AZ325" s="7"/>
      <c r="BA325" s="7"/>
      <c r="BB325" s="7"/>
      <c r="BC325" s="7"/>
      <c r="BD325" s="7"/>
      <c r="BE325" s="7"/>
      <c r="BF325" s="7"/>
      <c r="BG325" s="7"/>
      <c r="BH325" s="7"/>
      <c r="BI325" s="7"/>
      <c r="BJ325" s="7"/>
      <c r="BK325" s="7"/>
      <c r="BL325" s="7"/>
      <c r="BM325" s="7"/>
      <c r="BN325" s="7"/>
      <c r="BO325" s="7"/>
      <c r="BP325" s="2"/>
      <c r="BQ325" s="8">
        <v>45779</v>
      </c>
      <c r="BR325" s="8"/>
      <c r="BS325" s="8" t="s">
        <v>1695</v>
      </c>
      <c r="BT325" s="14">
        <f t="shared" si="15"/>
        <v>453120</v>
      </c>
      <c r="BU325" s="2" t="str">
        <f t="shared" ref="BU325:BU388" si="16">IF(M325=BT325,"OK","CORRIGIR")</f>
        <v>OK</v>
      </c>
      <c r="BV325" s="13">
        <f t="shared" ref="BV325:BV388" si="17">M325-BT325</f>
        <v>0</v>
      </c>
    </row>
    <row r="326" spans="1:74" s="9" customFormat="1" ht="78.75" hidden="1" x14ac:dyDescent="0.25">
      <c r="A326" s="24" t="s">
        <v>1224</v>
      </c>
      <c r="B326" s="24" t="s">
        <v>283</v>
      </c>
      <c r="C326" s="24" t="s">
        <v>274</v>
      </c>
      <c r="D326" s="69" t="s">
        <v>284</v>
      </c>
      <c r="E326" s="2"/>
      <c r="F326" s="24" t="s">
        <v>72</v>
      </c>
      <c r="G326" s="24" t="s">
        <v>1639</v>
      </c>
      <c r="H326" s="24" t="s">
        <v>66</v>
      </c>
      <c r="I326" s="24" t="s">
        <v>285</v>
      </c>
      <c r="J326" s="24">
        <v>678</v>
      </c>
      <c r="K326" s="24" t="s">
        <v>67</v>
      </c>
      <c r="L326" s="70">
        <v>391165.32</v>
      </c>
      <c r="M326" s="70">
        <v>391165.32</v>
      </c>
      <c r="N326" s="24" t="s">
        <v>42</v>
      </c>
      <c r="O326" s="7">
        <v>0</v>
      </c>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v>391165.32</v>
      </c>
      <c r="AY326" s="7"/>
      <c r="AZ326" s="7"/>
      <c r="BA326" s="7"/>
      <c r="BB326" s="7"/>
      <c r="BC326" s="7"/>
      <c r="BD326" s="7"/>
      <c r="BE326" s="7"/>
      <c r="BF326" s="7"/>
      <c r="BG326" s="7"/>
      <c r="BH326" s="7"/>
      <c r="BI326" s="7"/>
      <c r="BJ326" s="7"/>
      <c r="BK326" s="7"/>
      <c r="BL326" s="7"/>
      <c r="BM326" s="7"/>
      <c r="BN326" s="7"/>
      <c r="BO326" s="7"/>
      <c r="BP326" s="8">
        <v>45839</v>
      </c>
      <c r="BQ326" s="24"/>
      <c r="BR326" s="2" t="s">
        <v>1801</v>
      </c>
      <c r="BS326" s="24"/>
      <c r="BT326" s="14">
        <f t="shared" si="15"/>
        <v>391165.32</v>
      </c>
      <c r="BU326" s="2" t="str">
        <f t="shared" si="16"/>
        <v>OK</v>
      </c>
      <c r="BV326" s="13">
        <f t="shared" si="17"/>
        <v>0</v>
      </c>
    </row>
    <row r="327" spans="1:74" s="9" customFormat="1" ht="99.95" customHeight="1" x14ac:dyDescent="0.25">
      <c r="A327" s="2" t="s">
        <v>1179</v>
      </c>
      <c r="B327" s="2" t="s">
        <v>169</v>
      </c>
      <c r="C327" s="2" t="s">
        <v>74</v>
      </c>
      <c r="D327" s="12" t="s">
        <v>1877</v>
      </c>
      <c r="E327" s="3" t="s">
        <v>171</v>
      </c>
      <c r="F327" s="2" t="s">
        <v>65</v>
      </c>
      <c r="G327" s="2" t="s">
        <v>2035</v>
      </c>
      <c r="H327" s="2" t="s">
        <v>77</v>
      </c>
      <c r="I327" s="2" t="s">
        <v>78</v>
      </c>
      <c r="J327" s="2" t="s">
        <v>172</v>
      </c>
      <c r="K327" s="2" t="s">
        <v>67</v>
      </c>
      <c r="L327" s="22">
        <v>884898.3</v>
      </c>
      <c r="M327" s="22">
        <v>368160</v>
      </c>
      <c r="N327" s="2" t="s">
        <v>39</v>
      </c>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U327" s="7">
        <v>368160</v>
      </c>
      <c r="AV327" s="7"/>
      <c r="AW327" s="7"/>
      <c r="AX327" s="7"/>
      <c r="AY327" s="7"/>
      <c r="AZ327" s="7"/>
      <c r="BA327" s="7"/>
      <c r="BB327" s="7"/>
      <c r="BC327" s="7"/>
      <c r="BD327" s="7"/>
      <c r="BE327" s="7"/>
      <c r="BF327" s="7"/>
      <c r="BG327" s="7"/>
      <c r="BH327" s="7"/>
      <c r="BI327" s="7"/>
      <c r="BJ327" s="7"/>
      <c r="BK327" s="7"/>
      <c r="BL327" s="7"/>
      <c r="BM327" s="7"/>
      <c r="BN327" s="7"/>
      <c r="BO327" s="7"/>
      <c r="BP327" s="2"/>
      <c r="BQ327" s="8">
        <v>45779</v>
      </c>
      <c r="BR327" s="8"/>
      <c r="BS327" s="2" t="s">
        <v>1697</v>
      </c>
      <c r="BT327" s="14">
        <f t="shared" si="15"/>
        <v>368160</v>
      </c>
      <c r="BU327" s="2" t="str">
        <f t="shared" si="16"/>
        <v>OK</v>
      </c>
      <c r="BV327" s="13">
        <f t="shared" si="17"/>
        <v>0</v>
      </c>
    </row>
    <row r="328" spans="1:74" s="9" customFormat="1" ht="90" x14ac:dyDescent="0.25">
      <c r="A328" s="2" t="s">
        <v>1180</v>
      </c>
      <c r="B328" s="2" t="s">
        <v>173</v>
      </c>
      <c r="C328" s="2" t="s">
        <v>74</v>
      </c>
      <c r="D328" s="12" t="s">
        <v>1878</v>
      </c>
      <c r="E328" s="3" t="s">
        <v>175</v>
      </c>
      <c r="F328" s="2" t="s">
        <v>65</v>
      </c>
      <c r="G328" s="2" t="s">
        <v>2035</v>
      </c>
      <c r="H328" s="2" t="s">
        <v>77</v>
      </c>
      <c r="I328" s="2" t="s">
        <v>78</v>
      </c>
      <c r="J328" s="2" t="s">
        <v>176</v>
      </c>
      <c r="K328" s="2" t="s">
        <v>67</v>
      </c>
      <c r="L328" s="22">
        <v>816829.2</v>
      </c>
      <c r="M328" s="22">
        <v>339840</v>
      </c>
      <c r="N328" s="2" t="s">
        <v>39</v>
      </c>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c r="AT328" s="7"/>
      <c r="AU328" s="7">
        <v>339840</v>
      </c>
      <c r="AV328" s="7"/>
      <c r="AW328" s="7"/>
      <c r="AX328" s="7"/>
      <c r="AY328" s="7"/>
      <c r="AZ328" s="7"/>
      <c r="BA328" s="7"/>
      <c r="BB328" s="7"/>
      <c r="BC328" s="7"/>
      <c r="BD328" s="7"/>
      <c r="BE328" s="7"/>
      <c r="BF328" s="7"/>
      <c r="BG328" s="7"/>
      <c r="BH328" s="7"/>
      <c r="BI328" s="7"/>
      <c r="BJ328" s="7"/>
      <c r="BK328" s="7"/>
      <c r="BL328" s="7"/>
      <c r="BM328" s="7"/>
      <c r="BN328" s="7"/>
      <c r="BO328" s="7"/>
      <c r="BP328" s="2"/>
      <c r="BQ328" s="8">
        <v>45779</v>
      </c>
      <c r="BR328" s="8"/>
      <c r="BS328" s="2" t="s">
        <v>1697</v>
      </c>
      <c r="BT328" s="14">
        <f t="shared" si="15"/>
        <v>339840</v>
      </c>
      <c r="BU328" s="2" t="str">
        <f t="shared" si="16"/>
        <v>OK</v>
      </c>
      <c r="BV328" s="13">
        <f t="shared" si="17"/>
        <v>0</v>
      </c>
    </row>
    <row r="329" spans="1:74" s="9" customFormat="1" ht="101.25" hidden="1" x14ac:dyDescent="0.25">
      <c r="A329" s="2" t="s">
        <v>1227</v>
      </c>
      <c r="B329" s="2" t="s">
        <v>278</v>
      </c>
      <c r="C329" s="2" t="s">
        <v>274</v>
      </c>
      <c r="D329" s="12" t="s">
        <v>279</v>
      </c>
      <c r="E329" s="2"/>
      <c r="F329" s="2" t="s">
        <v>72</v>
      </c>
      <c r="G329" s="2" t="s">
        <v>1639</v>
      </c>
      <c r="H329" s="2" t="s">
        <v>66</v>
      </c>
      <c r="I329" s="2" t="s">
        <v>285</v>
      </c>
      <c r="J329" s="2" t="s">
        <v>1618</v>
      </c>
      <c r="K329" s="2" t="s">
        <v>67</v>
      </c>
      <c r="L329" s="22">
        <v>300631.48</v>
      </c>
      <c r="M329" s="22">
        <v>300631.48</v>
      </c>
      <c r="N329" s="2" t="s">
        <v>42</v>
      </c>
      <c r="O329" s="7">
        <v>0</v>
      </c>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v>300631.48</v>
      </c>
      <c r="AY329" s="7"/>
      <c r="AZ329" s="7"/>
      <c r="BA329" s="7"/>
      <c r="BB329" s="7"/>
      <c r="BC329" s="7"/>
      <c r="BD329" s="7"/>
      <c r="BE329" s="7"/>
      <c r="BF329" s="7"/>
      <c r="BG329" s="7"/>
      <c r="BH329" s="7"/>
      <c r="BI329" s="7"/>
      <c r="BJ329" s="7"/>
      <c r="BK329" s="7"/>
      <c r="BL329" s="7"/>
      <c r="BM329" s="7"/>
      <c r="BN329" s="7"/>
      <c r="BO329" s="7"/>
      <c r="BP329" s="8">
        <v>45839</v>
      </c>
      <c r="BQ329" s="2"/>
      <c r="BR329" s="2" t="s">
        <v>1799</v>
      </c>
      <c r="BS329" s="2"/>
      <c r="BT329" s="14">
        <f t="shared" si="15"/>
        <v>300631.48</v>
      </c>
      <c r="BU329" s="2" t="str">
        <f t="shared" si="16"/>
        <v>OK</v>
      </c>
      <c r="BV329" s="13">
        <f t="shared" si="17"/>
        <v>0</v>
      </c>
    </row>
    <row r="330" spans="1:74" s="9" customFormat="1" ht="123.75" hidden="1" x14ac:dyDescent="0.25">
      <c r="A330" s="24" t="s">
        <v>1342</v>
      </c>
      <c r="B330" s="24" t="s">
        <v>584</v>
      </c>
      <c r="C330" s="24" t="s">
        <v>552</v>
      </c>
      <c r="D330" s="69" t="s">
        <v>585</v>
      </c>
      <c r="E330" s="2"/>
      <c r="F330" s="24" t="s">
        <v>72</v>
      </c>
      <c r="G330" s="24" t="s">
        <v>1788</v>
      </c>
      <c r="H330" s="24" t="s">
        <v>66</v>
      </c>
      <c r="I330" s="24" t="s">
        <v>686</v>
      </c>
      <c r="J330" s="24" t="s">
        <v>1618</v>
      </c>
      <c r="K330" s="24" t="s">
        <v>67</v>
      </c>
      <c r="L330" s="70">
        <v>35865014.640000001</v>
      </c>
      <c r="M330" s="70">
        <v>17932507.32</v>
      </c>
      <c r="N330" s="24" t="s">
        <v>558</v>
      </c>
      <c r="O330" s="7"/>
      <c r="P330" s="7"/>
      <c r="Q330" s="7"/>
      <c r="R330" s="7"/>
      <c r="S330" s="7"/>
      <c r="T330" s="7"/>
      <c r="U330" s="7"/>
      <c r="V330" s="7">
        <v>537975.22</v>
      </c>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c r="BA330" s="7"/>
      <c r="BB330" s="7"/>
      <c r="BC330" s="7"/>
      <c r="BD330" s="7">
        <v>7531653.0700000003</v>
      </c>
      <c r="BE330" s="7">
        <v>9862879.0299999993</v>
      </c>
      <c r="BF330" s="7"/>
      <c r="BG330" s="7"/>
      <c r="BH330" s="7"/>
      <c r="BI330" s="7"/>
      <c r="BJ330" s="7"/>
      <c r="BK330" s="7"/>
      <c r="BL330" s="7"/>
      <c r="BM330" s="7"/>
      <c r="BN330" s="7"/>
      <c r="BO330" s="7"/>
      <c r="BP330" s="8">
        <v>45600</v>
      </c>
      <c r="BQ330" s="24"/>
      <c r="BR330" s="2" t="s">
        <v>1799</v>
      </c>
      <c r="BS330" s="72"/>
      <c r="BT330" s="14">
        <f t="shared" si="15"/>
        <v>17932507.32</v>
      </c>
      <c r="BU330" s="2" t="str">
        <f t="shared" si="16"/>
        <v>OK</v>
      </c>
      <c r="BV330" s="13">
        <f t="shared" si="17"/>
        <v>0</v>
      </c>
    </row>
    <row r="331" spans="1:74" s="9" customFormat="1" ht="90" x14ac:dyDescent="0.25">
      <c r="A331" s="2" t="s">
        <v>1182</v>
      </c>
      <c r="B331" s="2" t="s">
        <v>181</v>
      </c>
      <c r="C331" s="2" t="s">
        <v>74</v>
      </c>
      <c r="D331" s="12" t="s">
        <v>1879</v>
      </c>
      <c r="E331" s="3" t="s">
        <v>183</v>
      </c>
      <c r="F331" s="2" t="s">
        <v>65</v>
      </c>
      <c r="G331" s="2" t="s">
        <v>2035</v>
      </c>
      <c r="H331" s="2" t="s">
        <v>77</v>
      </c>
      <c r="I331" s="2" t="s">
        <v>78</v>
      </c>
      <c r="J331" s="2" t="s">
        <v>176</v>
      </c>
      <c r="K331" s="2" t="s">
        <v>67</v>
      </c>
      <c r="L331" s="22">
        <v>816829.2</v>
      </c>
      <c r="M331" s="22">
        <v>339840</v>
      </c>
      <c r="N331" s="2" t="s">
        <v>39</v>
      </c>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v>339840</v>
      </c>
      <c r="AV331" s="7"/>
      <c r="AW331" s="7"/>
      <c r="AX331" s="7"/>
      <c r="AY331" s="7"/>
      <c r="AZ331" s="7"/>
      <c r="BA331" s="7"/>
      <c r="BB331" s="7"/>
      <c r="BC331" s="7"/>
      <c r="BD331" s="7"/>
      <c r="BE331" s="7"/>
      <c r="BF331" s="7"/>
      <c r="BG331" s="7"/>
      <c r="BH331" s="7"/>
      <c r="BI331" s="7"/>
      <c r="BJ331" s="7"/>
      <c r="BK331" s="7"/>
      <c r="BL331" s="7"/>
      <c r="BM331" s="7"/>
      <c r="BN331" s="7"/>
      <c r="BO331" s="7"/>
      <c r="BP331" s="2"/>
      <c r="BQ331" s="8">
        <v>45779</v>
      </c>
      <c r="BR331" s="8"/>
      <c r="BS331" s="2" t="s">
        <v>1697</v>
      </c>
      <c r="BT331" s="14">
        <f t="shared" si="15"/>
        <v>339840</v>
      </c>
      <c r="BU331" s="2" t="str">
        <f t="shared" si="16"/>
        <v>OK</v>
      </c>
      <c r="BV331" s="13">
        <f t="shared" si="17"/>
        <v>0</v>
      </c>
    </row>
    <row r="332" spans="1:74" s="9" customFormat="1" ht="90" x14ac:dyDescent="0.25">
      <c r="A332" s="2" t="s">
        <v>1183</v>
      </c>
      <c r="B332" s="2" t="s">
        <v>184</v>
      </c>
      <c r="C332" s="2" t="s">
        <v>74</v>
      </c>
      <c r="D332" s="12" t="s">
        <v>1880</v>
      </c>
      <c r="E332" s="2" t="s">
        <v>186</v>
      </c>
      <c r="F332" s="2" t="s">
        <v>65</v>
      </c>
      <c r="G332" s="2" t="s">
        <v>2035</v>
      </c>
      <c r="H332" s="2" t="s">
        <v>77</v>
      </c>
      <c r="I332" s="2" t="s">
        <v>78</v>
      </c>
      <c r="J332" s="2" t="s">
        <v>135</v>
      </c>
      <c r="K332" s="2" t="s">
        <v>67</v>
      </c>
      <c r="L332" s="22">
        <v>1905934.8</v>
      </c>
      <c r="M332" s="22">
        <v>792960</v>
      </c>
      <c r="N332" s="2" t="s">
        <v>39</v>
      </c>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c r="AT332" s="7"/>
      <c r="AU332" s="7">
        <v>792960</v>
      </c>
      <c r="AV332" s="7"/>
      <c r="AW332" s="7"/>
      <c r="AX332" s="7"/>
      <c r="AY332" s="7"/>
      <c r="AZ332" s="7"/>
      <c r="BA332" s="7"/>
      <c r="BB332" s="7"/>
      <c r="BC332" s="7"/>
      <c r="BD332" s="7"/>
      <c r="BE332" s="7"/>
      <c r="BF332" s="7"/>
      <c r="BG332" s="7"/>
      <c r="BH332" s="7"/>
      <c r="BI332" s="7"/>
      <c r="BJ332" s="7"/>
      <c r="BK332" s="7"/>
      <c r="BL332" s="7"/>
      <c r="BM332" s="7"/>
      <c r="BN332" s="7"/>
      <c r="BO332" s="7"/>
      <c r="BP332" s="2"/>
      <c r="BQ332" s="8">
        <v>45779</v>
      </c>
      <c r="BR332" s="8"/>
      <c r="BS332" s="1" t="s">
        <v>1697</v>
      </c>
      <c r="BT332" s="14">
        <f t="shared" si="15"/>
        <v>792960</v>
      </c>
      <c r="BU332" s="2" t="str">
        <f t="shared" si="16"/>
        <v>OK</v>
      </c>
      <c r="BV332" s="13">
        <f t="shared" si="17"/>
        <v>0</v>
      </c>
    </row>
    <row r="333" spans="1:74" s="9" customFormat="1" ht="99.95" customHeight="1" x14ac:dyDescent="0.25">
      <c r="A333" s="2" t="s">
        <v>1184</v>
      </c>
      <c r="B333" s="2" t="s">
        <v>187</v>
      </c>
      <c r="C333" s="2" t="s">
        <v>74</v>
      </c>
      <c r="D333" s="12" t="s">
        <v>1881</v>
      </c>
      <c r="E333" s="3" t="s">
        <v>189</v>
      </c>
      <c r="F333" s="2" t="s">
        <v>65</v>
      </c>
      <c r="G333" s="2" t="s">
        <v>2035</v>
      </c>
      <c r="H333" s="2" t="s">
        <v>77</v>
      </c>
      <c r="I333" s="2" t="s">
        <v>78</v>
      </c>
      <c r="J333" s="2" t="s">
        <v>190</v>
      </c>
      <c r="K333" s="2" t="s">
        <v>67</v>
      </c>
      <c r="L333" s="22">
        <v>518710.95</v>
      </c>
      <c r="M333" s="22">
        <v>212400</v>
      </c>
      <c r="N333" s="2" t="s">
        <v>39</v>
      </c>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c r="AT333" s="7"/>
      <c r="AU333" s="7">
        <v>212400</v>
      </c>
      <c r="AV333" s="7"/>
      <c r="AW333" s="7"/>
      <c r="AX333" s="7"/>
      <c r="AY333" s="7"/>
      <c r="AZ333" s="7"/>
      <c r="BA333" s="7"/>
      <c r="BB333" s="7"/>
      <c r="BC333" s="7"/>
      <c r="BD333" s="7"/>
      <c r="BE333" s="7"/>
      <c r="BF333" s="7"/>
      <c r="BG333" s="7"/>
      <c r="BH333" s="7"/>
      <c r="BI333" s="7"/>
      <c r="BJ333" s="7"/>
      <c r="BK333" s="7"/>
      <c r="BL333" s="7"/>
      <c r="BM333" s="7"/>
      <c r="BN333" s="7"/>
      <c r="BO333" s="7"/>
      <c r="BP333" s="2"/>
      <c r="BQ333" s="8">
        <v>45779</v>
      </c>
      <c r="BR333" s="8"/>
      <c r="BS333" s="1" t="s">
        <v>1697</v>
      </c>
      <c r="BT333" s="14">
        <f t="shared" ref="BT333:BT396" si="18">SUM(O333:BO333)</f>
        <v>212400</v>
      </c>
      <c r="BU333" s="2" t="str">
        <f t="shared" si="16"/>
        <v>OK</v>
      </c>
      <c r="BV333" s="13">
        <f t="shared" si="17"/>
        <v>0</v>
      </c>
    </row>
    <row r="334" spans="1:74" s="9" customFormat="1" ht="99.95" customHeight="1" x14ac:dyDescent="0.25">
      <c r="A334" s="2" t="s">
        <v>1186</v>
      </c>
      <c r="B334" s="2" t="s">
        <v>194</v>
      </c>
      <c r="C334" s="2" t="s">
        <v>74</v>
      </c>
      <c r="D334" s="12" t="s">
        <v>1882</v>
      </c>
      <c r="E334" s="2" t="s">
        <v>196</v>
      </c>
      <c r="F334" s="2" t="s">
        <v>65</v>
      </c>
      <c r="G334" s="2" t="s">
        <v>2035</v>
      </c>
      <c r="H334" s="2" t="s">
        <v>77</v>
      </c>
      <c r="I334" s="2" t="s">
        <v>78</v>
      </c>
      <c r="J334" s="2" t="s">
        <v>197</v>
      </c>
      <c r="K334" s="2" t="s">
        <v>67</v>
      </c>
      <c r="L334" s="22">
        <v>585394.26</v>
      </c>
      <c r="M334" s="22">
        <v>243552</v>
      </c>
      <c r="N334" s="2" t="s">
        <v>39</v>
      </c>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v>243552</v>
      </c>
      <c r="AV334" s="7"/>
      <c r="AW334" s="7"/>
      <c r="AX334" s="7"/>
      <c r="AY334" s="7"/>
      <c r="AZ334" s="7"/>
      <c r="BA334" s="7"/>
      <c r="BB334" s="7"/>
      <c r="BC334" s="7"/>
      <c r="BD334" s="7"/>
      <c r="BE334" s="7"/>
      <c r="BF334" s="7"/>
      <c r="BG334" s="7"/>
      <c r="BH334" s="7"/>
      <c r="BI334" s="7"/>
      <c r="BJ334" s="7"/>
      <c r="BK334" s="7"/>
      <c r="BL334" s="7"/>
      <c r="BM334" s="7"/>
      <c r="BN334" s="7"/>
      <c r="BO334" s="7"/>
      <c r="BP334" s="2"/>
      <c r="BQ334" s="8">
        <v>45779</v>
      </c>
      <c r="BR334" s="8"/>
      <c r="BS334" s="1" t="s">
        <v>1697</v>
      </c>
      <c r="BT334" s="14">
        <f t="shared" si="18"/>
        <v>243552</v>
      </c>
      <c r="BU334" s="2" t="str">
        <f t="shared" si="16"/>
        <v>OK</v>
      </c>
      <c r="BV334" s="13">
        <f t="shared" si="17"/>
        <v>0</v>
      </c>
    </row>
    <row r="335" spans="1:74" s="9" customFormat="1" ht="99.95" customHeight="1" x14ac:dyDescent="0.25">
      <c r="A335" s="2" t="s">
        <v>1189</v>
      </c>
      <c r="B335" s="2" t="s">
        <v>205</v>
      </c>
      <c r="C335" s="2" t="s">
        <v>74</v>
      </c>
      <c r="D335" s="12" t="s">
        <v>1883</v>
      </c>
      <c r="E335" s="2" t="s">
        <v>207</v>
      </c>
      <c r="F335" s="2" t="s">
        <v>65</v>
      </c>
      <c r="G335" s="2" t="s">
        <v>2035</v>
      </c>
      <c r="H335" s="2" t="s">
        <v>77</v>
      </c>
      <c r="I335" s="2" t="s">
        <v>78</v>
      </c>
      <c r="J335" s="2" t="s">
        <v>208</v>
      </c>
      <c r="K335" s="2" t="s">
        <v>67</v>
      </c>
      <c r="L335" s="22">
        <v>816829.2</v>
      </c>
      <c r="M335" s="22">
        <v>339840</v>
      </c>
      <c r="N335" s="2" t="s">
        <v>39</v>
      </c>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v>339840</v>
      </c>
      <c r="AV335" s="7"/>
      <c r="AW335" s="7"/>
      <c r="AX335" s="7"/>
      <c r="AY335" s="7"/>
      <c r="AZ335" s="7"/>
      <c r="BA335" s="7"/>
      <c r="BB335" s="7"/>
      <c r="BC335" s="7"/>
      <c r="BD335" s="7"/>
      <c r="BE335" s="7"/>
      <c r="BF335" s="7"/>
      <c r="BG335" s="7"/>
      <c r="BH335" s="7"/>
      <c r="BI335" s="7"/>
      <c r="BJ335" s="7"/>
      <c r="BK335" s="7"/>
      <c r="BL335" s="7"/>
      <c r="BM335" s="7"/>
      <c r="BN335" s="7"/>
      <c r="BO335" s="7"/>
      <c r="BP335" s="2"/>
      <c r="BQ335" s="8">
        <v>45779</v>
      </c>
      <c r="BR335" s="8"/>
      <c r="BS335" s="1" t="s">
        <v>1697</v>
      </c>
      <c r="BT335" s="14">
        <f t="shared" si="18"/>
        <v>339840</v>
      </c>
      <c r="BU335" s="2" t="str">
        <f t="shared" si="16"/>
        <v>OK</v>
      </c>
      <c r="BV335" s="13">
        <f t="shared" si="17"/>
        <v>0</v>
      </c>
    </row>
    <row r="336" spans="1:74" s="9" customFormat="1" ht="146.25" hidden="1" x14ac:dyDescent="0.25">
      <c r="A336" s="24" t="s">
        <v>1333</v>
      </c>
      <c r="B336" s="24" t="s">
        <v>581</v>
      </c>
      <c r="C336" s="24" t="s">
        <v>552</v>
      </c>
      <c r="D336" s="69" t="s">
        <v>1833</v>
      </c>
      <c r="E336" s="2"/>
      <c r="F336" s="24" t="s">
        <v>72</v>
      </c>
      <c r="G336" s="24" t="s">
        <v>1788</v>
      </c>
      <c r="H336" s="24" t="s">
        <v>66</v>
      </c>
      <c r="I336" s="24" t="s">
        <v>686</v>
      </c>
      <c r="J336" s="24" t="s">
        <v>1618</v>
      </c>
      <c r="K336" s="24" t="s">
        <v>67</v>
      </c>
      <c r="L336" s="70">
        <v>141176296.90000001</v>
      </c>
      <c r="M336" s="70">
        <v>28235529.390000001</v>
      </c>
      <c r="N336" s="24" t="s">
        <v>558</v>
      </c>
      <c r="O336" s="7"/>
      <c r="P336" s="7"/>
      <c r="Q336" s="7"/>
      <c r="R336" s="7"/>
      <c r="S336" s="7"/>
      <c r="T336" s="7"/>
      <c r="U336" s="7"/>
      <c r="V336" s="7">
        <v>847065.88</v>
      </c>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7"/>
      <c r="AZ336" s="7"/>
      <c r="BA336" s="7"/>
      <c r="BB336" s="7"/>
      <c r="BC336" s="7"/>
      <c r="BD336" s="7">
        <v>11858922.34</v>
      </c>
      <c r="BE336" s="7">
        <v>15529541.16</v>
      </c>
      <c r="BF336" s="7"/>
      <c r="BG336" s="7"/>
      <c r="BH336" s="7"/>
      <c r="BI336" s="7"/>
      <c r="BJ336" s="7"/>
      <c r="BK336" s="7"/>
      <c r="BL336" s="7"/>
      <c r="BM336" s="7"/>
      <c r="BN336" s="7"/>
      <c r="BO336" s="7"/>
      <c r="BP336" s="8">
        <v>45670</v>
      </c>
      <c r="BQ336" s="24"/>
      <c r="BR336" s="2" t="s">
        <v>1801</v>
      </c>
      <c r="BS336" s="72" t="s">
        <v>1780</v>
      </c>
      <c r="BT336" s="14">
        <f t="shared" si="18"/>
        <v>28235529.380000003</v>
      </c>
      <c r="BU336" s="2" t="str">
        <f t="shared" si="16"/>
        <v>CORRIGIR</v>
      </c>
      <c r="BV336" s="13">
        <f t="shared" si="17"/>
        <v>9.9999979138374329E-3</v>
      </c>
    </row>
    <row r="337" spans="1:74" s="9" customFormat="1" ht="99.95" customHeight="1" x14ac:dyDescent="0.25">
      <c r="A337" s="2" t="s">
        <v>1191</v>
      </c>
      <c r="B337" s="2" t="s">
        <v>213</v>
      </c>
      <c r="C337" s="2" t="s">
        <v>74</v>
      </c>
      <c r="D337" s="12" t="s">
        <v>1884</v>
      </c>
      <c r="E337" s="2" t="s">
        <v>215</v>
      </c>
      <c r="F337" s="2" t="s">
        <v>65</v>
      </c>
      <c r="G337" s="2" t="s">
        <v>2035</v>
      </c>
      <c r="H337" s="2" t="s">
        <v>77</v>
      </c>
      <c r="I337" s="2" t="s">
        <v>78</v>
      </c>
      <c r="J337" s="2" t="s">
        <v>216</v>
      </c>
      <c r="K337" s="2" t="s">
        <v>67</v>
      </c>
      <c r="L337" s="22">
        <v>204207.3</v>
      </c>
      <c r="M337" s="22">
        <v>84960</v>
      </c>
      <c r="N337" s="2" t="s">
        <v>39</v>
      </c>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c r="AT337" s="7"/>
      <c r="AU337" s="7">
        <v>84960</v>
      </c>
      <c r="AV337" s="7"/>
      <c r="AW337" s="7"/>
      <c r="AX337" s="7"/>
      <c r="AY337" s="7"/>
      <c r="AZ337" s="7"/>
      <c r="BA337" s="7"/>
      <c r="BB337" s="7"/>
      <c r="BC337" s="7"/>
      <c r="BD337" s="7"/>
      <c r="BE337" s="7"/>
      <c r="BF337" s="7"/>
      <c r="BG337" s="7"/>
      <c r="BH337" s="7"/>
      <c r="BI337" s="7"/>
      <c r="BJ337" s="7"/>
      <c r="BK337" s="7"/>
      <c r="BL337" s="7"/>
      <c r="BM337" s="7"/>
      <c r="BN337" s="7"/>
      <c r="BO337" s="7"/>
      <c r="BP337" s="2"/>
      <c r="BQ337" s="8">
        <v>45779</v>
      </c>
      <c r="BR337" s="8"/>
      <c r="BS337" s="1" t="s">
        <v>1697</v>
      </c>
      <c r="BT337" s="14">
        <f t="shared" si="18"/>
        <v>84960</v>
      </c>
      <c r="BU337" s="2" t="str">
        <f t="shared" si="16"/>
        <v>OK</v>
      </c>
      <c r="BV337" s="13">
        <f t="shared" si="17"/>
        <v>0</v>
      </c>
    </row>
    <row r="338" spans="1:74" s="9" customFormat="1" ht="99.95" customHeight="1" x14ac:dyDescent="0.25">
      <c r="A338" s="2" t="s">
        <v>1192</v>
      </c>
      <c r="B338" s="2" t="s">
        <v>217</v>
      </c>
      <c r="C338" s="2" t="s">
        <v>74</v>
      </c>
      <c r="D338" s="12" t="s">
        <v>1885</v>
      </c>
      <c r="E338" s="2" t="s">
        <v>219</v>
      </c>
      <c r="F338" s="2" t="s">
        <v>65</v>
      </c>
      <c r="G338" s="2" t="s">
        <v>2035</v>
      </c>
      <c r="H338" s="2" t="s">
        <v>77</v>
      </c>
      <c r="I338" s="2" t="s">
        <v>78</v>
      </c>
      <c r="J338" s="2" t="s">
        <v>220</v>
      </c>
      <c r="K338" s="2" t="s">
        <v>67</v>
      </c>
      <c r="L338" s="22">
        <v>1059699.06</v>
      </c>
      <c r="M338" s="22">
        <v>424800</v>
      </c>
      <c r="N338" s="2" t="s">
        <v>39</v>
      </c>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c r="AT338" s="7"/>
      <c r="AU338" s="7">
        <v>424800</v>
      </c>
      <c r="AV338" s="7"/>
      <c r="AW338" s="7"/>
      <c r="AX338" s="7"/>
      <c r="AY338" s="7"/>
      <c r="AZ338" s="7"/>
      <c r="BA338" s="7"/>
      <c r="BB338" s="7"/>
      <c r="BC338" s="7"/>
      <c r="BD338" s="7"/>
      <c r="BE338" s="7"/>
      <c r="BF338" s="7"/>
      <c r="BG338" s="7"/>
      <c r="BH338" s="7"/>
      <c r="BI338" s="7"/>
      <c r="BJ338" s="7"/>
      <c r="BK338" s="7"/>
      <c r="BL338" s="7"/>
      <c r="BM338" s="7"/>
      <c r="BN338" s="7"/>
      <c r="BO338" s="7"/>
      <c r="BP338" s="2"/>
      <c r="BQ338" s="8">
        <v>45779</v>
      </c>
      <c r="BR338" s="8"/>
      <c r="BS338" s="1" t="s">
        <v>1697</v>
      </c>
      <c r="BT338" s="14">
        <f t="shared" si="18"/>
        <v>424800</v>
      </c>
      <c r="BU338" s="2" t="str">
        <f t="shared" si="16"/>
        <v>OK</v>
      </c>
      <c r="BV338" s="13">
        <f t="shared" si="17"/>
        <v>0</v>
      </c>
    </row>
    <row r="339" spans="1:74" s="9" customFormat="1" ht="99.95" customHeight="1" x14ac:dyDescent="0.25">
      <c r="A339" s="2" t="s">
        <v>1193</v>
      </c>
      <c r="B339" s="2" t="s">
        <v>221</v>
      </c>
      <c r="C339" s="2" t="s">
        <v>74</v>
      </c>
      <c r="D339" s="12" t="s">
        <v>1886</v>
      </c>
      <c r="E339" s="2" t="s">
        <v>223</v>
      </c>
      <c r="F339" s="2" t="s">
        <v>65</v>
      </c>
      <c r="G339" s="2" t="s">
        <v>2035</v>
      </c>
      <c r="H339" s="2" t="s">
        <v>77</v>
      </c>
      <c r="I339" s="2" t="s">
        <v>78</v>
      </c>
      <c r="J339" s="2" t="s">
        <v>224</v>
      </c>
      <c r="K339" s="2" t="s">
        <v>67</v>
      </c>
      <c r="L339" s="22">
        <v>272276.40000000002</v>
      </c>
      <c r="M339" s="22">
        <v>113280</v>
      </c>
      <c r="N339" s="2" t="s">
        <v>39</v>
      </c>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c r="AR339" s="7"/>
      <c r="AS339" s="7"/>
      <c r="AT339" s="7"/>
      <c r="AU339" s="7">
        <v>113280</v>
      </c>
      <c r="AV339" s="7"/>
      <c r="AW339" s="7"/>
      <c r="AX339" s="7"/>
      <c r="AY339" s="7"/>
      <c r="AZ339" s="7"/>
      <c r="BA339" s="7"/>
      <c r="BB339" s="7"/>
      <c r="BC339" s="7"/>
      <c r="BD339" s="7"/>
      <c r="BE339" s="7"/>
      <c r="BF339" s="7"/>
      <c r="BG339" s="7"/>
      <c r="BH339" s="7"/>
      <c r="BI339" s="7"/>
      <c r="BJ339" s="7"/>
      <c r="BK339" s="7"/>
      <c r="BL339" s="7"/>
      <c r="BM339" s="7"/>
      <c r="BN339" s="7"/>
      <c r="BO339" s="7"/>
      <c r="BP339" s="2"/>
      <c r="BQ339" s="8">
        <v>45779</v>
      </c>
      <c r="BR339" s="8"/>
      <c r="BS339" s="1" t="s">
        <v>1697</v>
      </c>
      <c r="BT339" s="14">
        <f t="shared" si="18"/>
        <v>113280</v>
      </c>
      <c r="BU339" s="2" t="str">
        <f t="shared" si="16"/>
        <v>OK</v>
      </c>
      <c r="BV339" s="13">
        <f t="shared" si="17"/>
        <v>0</v>
      </c>
    </row>
    <row r="340" spans="1:74" s="9" customFormat="1" ht="99.95" customHeight="1" x14ac:dyDescent="0.25">
      <c r="A340" s="2" t="s">
        <v>1195</v>
      </c>
      <c r="B340" s="2" t="s">
        <v>228</v>
      </c>
      <c r="C340" s="2" t="s">
        <v>74</v>
      </c>
      <c r="D340" s="12" t="s">
        <v>1887</v>
      </c>
      <c r="E340" s="2" t="s">
        <v>230</v>
      </c>
      <c r="F340" s="2" t="s">
        <v>65</v>
      </c>
      <c r="G340" s="2" t="s">
        <v>2035</v>
      </c>
      <c r="H340" s="2" t="s">
        <v>77</v>
      </c>
      <c r="I340" s="2" t="s">
        <v>78</v>
      </c>
      <c r="J340" s="2" t="s">
        <v>231</v>
      </c>
      <c r="K340" s="2" t="s">
        <v>67</v>
      </c>
      <c r="L340" s="22">
        <v>544552.80000000005</v>
      </c>
      <c r="M340" s="22">
        <v>226560</v>
      </c>
      <c r="N340" s="2" t="s">
        <v>39</v>
      </c>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c r="AS340" s="7"/>
      <c r="AT340" s="7"/>
      <c r="AU340" s="7">
        <v>226560</v>
      </c>
      <c r="AV340" s="7"/>
      <c r="AW340" s="7"/>
      <c r="AX340" s="7"/>
      <c r="AY340" s="7"/>
      <c r="AZ340" s="7"/>
      <c r="BA340" s="7"/>
      <c r="BB340" s="7"/>
      <c r="BC340" s="7"/>
      <c r="BD340" s="7"/>
      <c r="BE340" s="7"/>
      <c r="BF340" s="7"/>
      <c r="BG340" s="7"/>
      <c r="BH340" s="7"/>
      <c r="BI340" s="7"/>
      <c r="BJ340" s="7"/>
      <c r="BK340" s="7"/>
      <c r="BL340" s="7"/>
      <c r="BM340" s="7"/>
      <c r="BN340" s="7"/>
      <c r="BO340" s="7"/>
      <c r="BP340" s="2"/>
      <c r="BQ340" s="8">
        <v>45779</v>
      </c>
      <c r="BR340" s="8"/>
      <c r="BS340" s="1" t="s">
        <v>1697</v>
      </c>
      <c r="BT340" s="14">
        <f t="shared" si="18"/>
        <v>226560</v>
      </c>
      <c r="BU340" s="2" t="str">
        <f t="shared" si="16"/>
        <v>OK</v>
      </c>
      <c r="BV340" s="13">
        <f t="shared" si="17"/>
        <v>0</v>
      </c>
    </row>
    <row r="341" spans="1:74" s="9" customFormat="1" ht="99.95" customHeight="1" x14ac:dyDescent="0.25">
      <c r="A341" s="2" t="s">
        <v>1196</v>
      </c>
      <c r="B341" s="2" t="s">
        <v>232</v>
      </c>
      <c r="C341" s="2" t="s">
        <v>74</v>
      </c>
      <c r="D341" s="12" t="s">
        <v>1888</v>
      </c>
      <c r="E341" s="2" t="s">
        <v>234</v>
      </c>
      <c r="F341" s="2" t="s">
        <v>65</v>
      </c>
      <c r="G341" s="2" t="s">
        <v>2035</v>
      </c>
      <c r="H341" s="2" t="s">
        <v>77</v>
      </c>
      <c r="I341" s="2" t="s">
        <v>78</v>
      </c>
      <c r="J341" s="2" t="s">
        <v>235</v>
      </c>
      <c r="K341" s="2" t="s">
        <v>67</v>
      </c>
      <c r="L341" s="22">
        <v>224628.03</v>
      </c>
      <c r="M341" s="22">
        <v>93456</v>
      </c>
      <c r="N341" s="2" t="s">
        <v>39</v>
      </c>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c r="AT341" s="7"/>
      <c r="AU341" s="7">
        <v>93456</v>
      </c>
      <c r="AV341" s="7"/>
      <c r="AW341" s="7"/>
      <c r="AX341" s="7"/>
      <c r="AY341" s="7"/>
      <c r="AZ341" s="7"/>
      <c r="BA341" s="7"/>
      <c r="BB341" s="7"/>
      <c r="BC341" s="7"/>
      <c r="BD341" s="7"/>
      <c r="BE341" s="7"/>
      <c r="BF341" s="7"/>
      <c r="BG341" s="7"/>
      <c r="BH341" s="7"/>
      <c r="BI341" s="7"/>
      <c r="BJ341" s="7"/>
      <c r="BK341" s="7"/>
      <c r="BL341" s="7"/>
      <c r="BM341" s="7"/>
      <c r="BN341" s="7"/>
      <c r="BO341" s="7"/>
      <c r="BP341" s="2"/>
      <c r="BQ341" s="8">
        <v>45779</v>
      </c>
      <c r="BR341" s="8"/>
      <c r="BS341" s="1" t="s">
        <v>1697</v>
      </c>
      <c r="BT341" s="14">
        <f t="shared" si="18"/>
        <v>93456</v>
      </c>
      <c r="BU341" s="2" t="str">
        <f t="shared" si="16"/>
        <v>OK</v>
      </c>
      <c r="BV341" s="13">
        <f t="shared" si="17"/>
        <v>0</v>
      </c>
    </row>
    <row r="342" spans="1:74" s="9" customFormat="1" ht="123.75" hidden="1" x14ac:dyDescent="0.25">
      <c r="A342" s="24" t="s">
        <v>1384</v>
      </c>
      <c r="B342" s="24" t="s">
        <v>680</v>
      </c>
      <c r="C342" s="24" t="s">
        <v>681</v>
      </c>
      <c r="D342" s="69" t="s">
        <v>682</v>
      </c>
      <c r="E342" s="2"/>
      <c r="F342" s="24" t="s">
        <v>65</v>
      </c>
      <c r="G342" s="24" t="s">
        <v>1788</v>
      </c>
      <c r="H342" s="24" t="s">
        <v>66</v>
      </c>
      <c r="I342" s="24" t="s">
        <v>686</v>
      </c>
      <c r="J342" s="24" t="s">
        <v>1618</v>
      </c>
      <c r="K342" s="24" t="s">
        <v>67</v>
      </c>
      <c r="L342" s="70">
        <v>75782788.920000002</v>
      </c>
      <c r="M342" s="70">
        <v>75782788.920000002</v>
      </c>
      <c r="N342" s="24" t="s">
        <v>683</v>
      </c>
      <c r="O342" s="7"/>
      <c r="P342" s="7"/>
      <c r="Q342" s="7"/>
      <c r="R342" s="7"/>
      <c r="S342" s="7"/>
      <c r="T342" s="7"/>
      <c r="U342" s="7"/>
      <c r="V342" s="7">
        <v>22734836.670000002</v>
      </c>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c r="AZ342" s="7"/>
      <c r="BA342" s="7"/>
      <c r="BB342" s="7"/>
      <c r="BC342" s="7"/>
      <c r="BD342" s="7">
        <v>3789139.45</v>
      </c>
      <c r="BE342" s="7">
        <v>49258812.799999997</v>
      </c>
      <c r="BF342" s="7"/>
      <c r="BG342" s="7"/>
      <c r="BH342" s="7"/>
      <c r="BI342" s="7"/>
      <c r="BJ342" s="7"/>
      <c r="BK342" s="7"/>
      <c r="BL342" s="7"/>
      <c r="BM342" s="7"/>
      <c r="BN342" s="7"/>
      <c r="BO342" s="7"/>
      <c r="BP342" s="8">
        <v>45782</v>
      </c>
      <c r="BQ342" s="24"/>
      <c r="BR342" s="2" t="s">
        <v>1800</v>
      </c>
      <c r="BS342" s="72"/>
      <c r="BT342" s="14">
        <f t="shared" si="18"/>
        <v>75782788.920000002</v>
      </c>
      <c r="BU342" s="2" t="str">
        <f t="shared" si="16"/>
        <v>OK</v>
      </c>
      <c r="BV342" s="13">
        <f t="shared" si="17"/>
        <v>0</v>
      </c>
    </row>
    <row r="343" spans="1:74" s="9" customFormat="1" ht="99.95" customHeight="1" x14ac:dyDescent="0.25">
      <c r="A343" s="2" t="s">
        <v>1198</v>
      </c>
      <c r="B343" s="2" t="s">
        <v>240</v>
      </c>
      <c r="C343" s="2" t="s">
        <v>74</v>
      </c>
      <c r="D343" s="12" t="s">
        <v>1889</v>
      </c>
      <c r="E343" s="2" t="s">
        <v>242</v>
      </c>
      <c r="F343" s="2" t="s">
        <v>65</v>
      </c>
      <c r="G343" s="2" t="s">
        <v>2035</v>
      </c>
      <c r="H343" s="2" t="s">
        <v>77</v>
      </c>
      <c r="I343" s="2" t="s">
        <v>78</v>
      </c>
      <c r="J343" s="2" t="s">
        <v>208</v>
      </c>
      <c r="K343" s="2" t="s">
        <v>67</v>
      </c>
      <c r="L343" s="22">
        <v>816829.2</v>
      </c>
      <c r="M343" s="22">
        <v>339840</v>
      </c>
      <c r="N343" s="2" t="s">
        <v>39</v>
      </c>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c r="AT343" s="7"/>
      <c r="AU343" s="7">
        <v>339840</v>
      </c>
      <c r="AV343" s="7"/>
      <c r="AW343" s="7"/>
      <c r="AX343" s="7"/>
      <c r="AY343" s="7"/>
      <c r="AZ343" s="7"/>
      <c r="BA343" s="7"/>
      <c r="BB343" s="7"/>
      <c r="BC343" s="7"/>
      <c r="BD343" s="7"/>
      <c r="BE343" s="7"/>
      <c r="BF343" s="7"/>
      <c r="BG343" s="7"/>
      <c r="BH343" s="7"/>
      <c r="BI343" s="7"/>
      <c r="BJ343" s="7"/>
      <c r="BK343" s="7"/>
      <c r="BL343" s="7"/>
      <c r="BM343" s="7"/>
      <c r="BN343" s="7"/>
      <c r="BO343" s="7"/>
      <c r="BP343" s="2"/>
      <c r="BQ343" s="8">
        <v>45779</v>
      </c>
      <c r="BR343" s="8"/>
      <c r="BS343" s="1" t="s">
        <v>1697</v>
      </c>
      <c r="BT343" s="14">
        <f t="shared" si="18"/>
        <v>339840</v>
      </c>
      <c r="BU343" s="2" t="str">
        <f t="shared" si="16"/>
        <v>OK</v>
      </c>
      <c r="BV343" s="13">
        <f t="shared" si="17"/>
        <v>0</v>
      </c>
    </row>
    <row r="344" spans="1:74" s="9" customFormat="1" ht="99.95" customHeight="1" x14ac:dyDescent="0.25">
      <c r="A344" s="2" t="s">
        <v>1200</v>
      </c>
      <c r="B344" s="2" t="s">
        <v>246</v>
      </c>
      <c r="C344" s="2" t="s">
        <v>74</v>
      </c>
      <c r="D344" s="12" t="s">
        <v>1890</v>
      </c>
      <c r="E344" s="2" t="s">
        <v>248</v>
      </c>
      <c r="F344" s="2" t="s">
        <v>65</v>
      </c>
      <c r="G344" s="2" t="s">
        <v>2035</v>
      </c>
      <c r="H344" s="2" t="s">
        <v>77</v>
      </c>
      <c r="I344" s="2" t="s">
        <v>78</v>
      </c>
      <c r="J344" s="2" t="s">
        <v>249</v>
      </c>
      <c r="K344" s="2" t="s">
        <v>67</v>
      </c>
      <c r="L344" s="22">
        <v>1225243.8</v>
      </c>
      <c r="M344" s="22">
        <v>509760</v>
      </c>
      <c r="N344" s="2" t="s">
        <v>39</v>
      </c>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v>509760</v>
      </c>
      <c r="AV344" s="7"/>
      <c r="AW344" s="7"/>
      <c r="AX344" s="7"/>
      <c r="AY344" s="7"/>
      <c r="AZ344" s="7"/>
      <c r="BA344" s="7"/>
      <c r="BB344" s="7"/>
      <c r="BC344" s="7"/>
      <c r="BD344" s="7"/>
      <c r="BE344" s="7"/>
      <c r="BF344" s="7"/>
      <c r="BG344" s="7"/>
      <c r="BH344" s="7"/>
      <c r="BI344" s="7"/>
      <c r="BJ344" s="7"/>
      <c r="BK344" s="7"/>
      <c r="BL344" s="7"/>
      <c r="BM344" s="7"/>
      <c r="BN344" s="7"/>
      <c r="BO344" s="7"/>
      <c r="BP344" s="2"/>
      <c r="BQ344" s="8">
        <v>45779</v>
      </c>
      <c r="BR344" s="8"/>
      <c r="BS344" s="1" t="s">
        <v>1697</v>
      </c>
      <c r="BT344" s="14">
        <f t="shared" si="18"/>
        <v>509760</v>
      </c>
      <c r="BU344" s="2" t="str">
        <f t="shared" si="16"/>
        <v>OK</v>
      </c>
      <c r="BV344" s="13">
        <f t="shared" si="17"/>
        <v>0</v>
      </c>
    </row>
    <row r="345" spans="1:74" s="9" customFormat="1" ht="99.95" customHeight="1" x14ac:dyDescent="0.25">
      <c r="A345" s="2" t="s">
        <v>1202</v>
      </c>
      <c r="B345" s="2" t="s">
        <v>253</v>
      </c>
      <c r="C345" s="2" t="s">
        <v>74</v>
      </c>
      <c r="D345" s="12" t="s">
        <v>1891</v>
      </c>
      <c r="E345" s="2" t="s">
        <v>255</v>
      </c>
      <c r="F345" s="2" t="s">
        <v>65</v>
      </c>
      <c r="G345" s="2" t="s">
        <v>2035</v>
      </c>
      <c r="H345" s="2" t="s">
        <v>77</v>
      </c>
      <c r="I345" s="2" t="s">
        <v>78</v>
      </c>
      <c r="J345" s="2" t="s">
        <v>256</v>
      </c>
      <c r="K345" s="2" t="s">
        <v>67</v>
      </c>
      <c r="L345" s="22">
        <v>136138.20000000001</v>
      </c>
      <c r="M345" s="22">
        <v>56640</v>
      </c>
      <c r="N345" s="2" t="s">
        <v>39</v>
      </c>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v>56640</v>
      </c>
      <c r="AV345" s="7"/>
      <c r="AW345" s="7"/>
      <c r="AX345" s="7"/>
      <c r="AY345" s="7"/>
      <c r="AZ345" s="7"/>
      <c r="BA345" s="7"/>
      <c r="BB345" s="7"/>
      <c r="BC345" s="7"/>
      <c r="BD345" s="7"/>
      <c r="BE345" s="7"/>
      <c r="BF345" s="7"/>
      <c r="BG345" s="7"/>
      <c r="BH345" s="7"/>
      <c r="BI345" s="7"/>
      <c r="BJ345" s="7"/>
      <c r="BK345" s="7"/>
      <c r="BL345" s="7"/>
      <c r="BM345" s="7"/>
      <c r="BN345" s="7"/>
      <c r="BO345" s="7"/>
      <c r="BP345" s="2"/>
      <c r="BQ345" s="8">
        <v>45779</v>
      </c>
      <c r="BR345" s="8"/>
      <c r="BS345" s="1" t="s">
        <v>1697</v>
      </c>
      <c r="BT345" s="14">
        <f t="shared" si="18"/>
        <v>56640</v>
      </c>
      <c r="BU345" s="2" t="str">
        <f t="shared" si="16"/>
        <v>OK</v>
      </c>
      <c r="BV345" s="13">
        <f t="shared" si="17"/>
        <v>0</v>
      </c>
    </row>
    <row r="346" spans="1:74" s="9" customFormat="1" ht="99.95" customHeight="1" x14ac:dyDescent="0.25">
      <c r="A346" s="2" t="s">
        <v>1204</v>
      </c>
      <c r="B346" s="2" t="s">
        <v>261</v>
      </c>
      <c r="C346" s="2" t="s">
        <v>74</v>
      </c>
      <c r="D346" s="12" t="s">
        <v>1892</v>
      </c>
      <c r="E346" s="2" t="s">
        <v>263</v>
      </c>
      <c r="F346" s="2" t="s">
        <v>65</v>
      </c>
      <c r="G346" s="2" t="s">
        <v>2035</v>
      </c>
      <c r="H346" s="2" t="s">
        <v>77</v>
      </c>
      <c r="I346" s="2" t="s">
        <v>78</v>
      </c>
      <c r="J346" s="2" t="s">
        <v>208</v>
      </c>
      <c r="K346" s="2" t="s">
        <v>67</v>
      </c>
      <c r="L346" s="22">
        <v>816829.2</v>
      </c>
      <c r="M346" s="22">
        <v>339840</v>
      </c>
      <c r="N346" s="2" t="s">
        <v>39</v>
      </c>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c r="AT346" s="7"/>
      <c r="AU346" s="7">
        <v>339840</v>
      </c>
      <c r="AV346" s="7"/>
      <c r="AW346" s="7"/>
      <c r="AX346" s="7"/>
      <c r="AY346" s="7"/>
      <c r="AZ346" s="7"/>
      <c r="BA346" s="7"/>
      <c r="BB346" s="7"/>
      <c r="BC346" s="7"/>
      <c r="BD346" s="7"/>
      <c r="BE346" s="7"/>
      <c r="BF346" s="7"/>
      <c r="BG346" s="7"/>
      <c r="BH346" s="7"/>
      <c r="BI346" s="7"/>
      <c r="BJ346" s="7"/>
      <c r="BK346" s="7"/>
      <c r="BL346" s="7"/>
      <c r="BM346" s="7"/>
      <c r="BN346" s="7"/>
      <c r="BO346" s="7"/>
      <c r="BP346" s="2"/>
      <c r="BQ346" s="8">
        <v>45779</v>
      </c>
      <c r="BR346" s="8"/>
      <c r="BS346" s="1" t="s">
        <v>1697</v>
      </c>
      <c r="BT346" s="14">
        <f t="shared" si="18"/>
        <v>339840</v>
      </c>
      <c r="BU346" s="2" t="str">
        <f t="shared" si="16"/>
        <v>OK</v>
      </c>
      <c r="BV346" s="13">
        <f t="shared" si="17"/>
        <v>0</v>
      </c>
    </row>
    <row r="347" spans="1:74" s="9" customFormat="1" ht="99.95" customHeight="1" x14ac:dyDescent="0.25">
      <c r="A347" s="2" t="s">
        <v>1403</v>
      </c>
      <c r="B347" s="2" t="s">
        <v>941</v>
      </c>
      <c r="C347" s="2" t="s">
        <v>715</v>
      </c>
      <c r="D347" s="12" t="s">
        <v>942</v>
      </c>
      <c r="E347" s="2"/>
      <c r="F347" s="2" t="s">
        <v>72</v>
      </c>
      <c r="G347" s="2" t="s">
        <v>2035</v>
      </c>
      <c r="H347" s="2" t="s">
        <v>77</v>
      </c>
      <c r="I347" s="2" t="s">
        <v>943</v>
      </c>
      <c r="J347" s="2" t="s">
        <v>944</v>
      </c>
      <c r="K347" s="2" t="s">
        <v>67</v>
      </c>
      <c r="L347" s="22">
        <v>352020</v>
      </c>
      <c r="M347" s="22">
        <v>247970</v>
      </c>
      <c r="N347" s="2" t="s">
        <v>14</v>
      </c>
      <c r="O347" s="7">
        <v>0</v>
      </c>
      <c r="P347" s="7"/>
      <c r="Q347" s="7"/>
      <c r="R347" s="7"/>
      <c r="S347" s="7"/>
      <c r="T347" s="7"/>
      <c r="U347" s="7"/>
      <c r="V347" s="7">
        <v>247970</v>
      </c>
      <c r="W347" s="7"/>
      <c r="X347" s="7"/>
      <c r="Y347" s="7"/>
      <c r="Z347" s="7"/>
      <c r="AA347" s="7"/>
      <c r="AB347" s="7"/>
      <c r="AC347" s="7"/>
      <c r="AD347" s="7"/>
      <c r="AE347" s="7"/>
      <c r="AF347" s="7"/>
      <c r="AG347" s="7"/>
      <c r="AH347" s="7"/>
      <c r="AI347" s="7"/>
      <c r="AJ347" s="7"/>
      <c r="AK347" s="7"/>
      <c r="AL347" s="7"/>
      <c r="AM347" s="7"/>
      <c r="AN347" s="7"/>
      <c r="AO347" s="7"/>
      <c r="AP347" s="7"/>
      <c r="AQ347" s="7"/>
      <c r="AR347" s="7"/>
      <c r="AS347" s="7"/>
      <c r="AT347" s="7"/>
      <c r="AU347" s="7"/>
      <c r="AV347" s="7"/>
      <c r="AW347" s="7"/>
      <c r="AX347" s="7"/>
      <c r="AY347" s="7"/>
      <c r="AZ347" s="7"/>
      <c r="BA347" s="7"/>
      <c r="BB347" s="7"/>
      <c r="BC347" s="7"/>
      <c r="BD347" s="7"/>
      <c r="BE347" s="7"/>
      <c r="BF347" s="7"/>
      <c r="BG347" s="7"/>
      <c r="BH347" s="7"/>
      <c r="BI347" s="7"/>
      <c r="BJ347" s="7"/>
      <c r="BK347" s="7"/>
      <c r="BL347" s="7"/>
      <c r="BM347" s="7"/>
      <c r="BN347" s="7"/>
      <c r="BO347" s="7"/>
      <c r="BP347" s="2"/>
      <c r="BQ347" s="8">
        <v>45806</v>
      </c>
      <c r="BR347" s="8"/>
      <c r="BS347" s="8" t="s">
        <v>1733</v>
      </c>
      <c r="BT347" s="14">
        <f t="shared" si="18"/>
        <v>247970</v>
      </c>
      <c r="BU347" s="2" t="str">
        <f t="shared" si="16"/>
        <v>OK</v>
      </c>
      <c r="BV347" s="13">
        <f t="shared" si="17"/>
        <v>0</v>
      </c>
    </row>
    <row r="348" spans="1:74" s="9" customFormat="1" ht="99.95" customHeight="1" x14ac:dyDescent="0.25">
      <c r="A348" s="2" t="s">
        <v>1162</v>
      </c>
      <c r="B348" s="2" t="s">
        <v>104</v>
      </c>
      <c r="C348" s="2" t="s">
        <v>74</v>
      </c>
      <c r="D348" s="12" t="s">
        <v>1893</v>
      </c>
      <c r="E348" s="3" t="s">
        <v>106</v>
      </c>
      <c r="F348" s="2" t="s">
        <v>65</v>
      </c>
      <c r="G348" s="2" t="s">
        <v>2035</v>
      </c>
      <c r="H348" s="2" t="s">
        <v>77</v>
      </c>
      <c r="I348" s="2" t="s">
        <v>78</v>
      </c>
      <c r="J348" s="2" t="s">
        <v>107</v>
      </c>
      <c r="K348" s="2" t="s">
        <v>67</v>
      </c>
      <c r="L348" s="22">
        <v>272276.40000000002</v>
      </c>
      <c r="M348" s="22">
        <v>113280</v>
      </c>
      <c r="N348" s="2" t="s">
        <v>39</v>
      </c>
      <c r="O348" s="7">
        <v>0</v>
      </c>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c r="AT348" s="7"/>
      <c r="AU348" s="7">
        <v>113280</v>
      </c>
      <c r="AV348" s="7"/>
      <c r="AW348" s="7"/>
      <c r="AX348" s="7"/>
      <c r="AY348" s="7"/>
      <c r="AZ348" s="7"/>
      <c r="BA348" s="7"/>
      <c r="BB348" s="7"/>
      <c r="BC348" s="7"/>
      <c r="BD348" s="7"/>
      <c r="BE348" s="7"/>
      <c r="BF348" s="7"/>
      <c r="BG348" s="7"/>
      <c r="BH348" s="7"/>
      <c r="BI348" s="7"/>
      <c r="BJ348" s="7"/>
      <c r="BK348" s="7"/>
      <c r="BL348" s="7"/>
      <c r="BM348" s="7"/>
      <c r="BN348" s="7"/>
      <c r="BO348" s="7"/>
      <c r="BP348" s="2"/>
      <c r="BQ348" s="8">
        <v>45810</v>
      </c>
      <c r="BR348" s="8"/>
      <c r="BS348" s="1" t="s">
        <v>1698</v>
      </c>
      <c r="BT348" s="14">
        <f t="shared" si="18"/>
        <v>113280</v>
      </c>
      <c r="BU348" s="2" t="str">
        <f t="shared" si="16"/>
        <v>OK</v>
      </c>
      <c r="BV348" s="13">
        <f t="shared" si="17"/>
        <v>0</v>
      </c>
    </row>
    <row r="349" spans="1:74" s="9" customFormat="1" ht="99.95" customHeight="1" x14ac:dyDescent="0.25">
      <c r="A349" s="2" t="s">
        <v>1163</v>
      </c>
      <c r="B349" s="2" t="s">
        <v>108</v>
      </c>
      <c r="C349" s="2" t="s">
        <v>74</v>
      </c>
      <c r="D349" s="12" t="s">
        <v>1894</v>
      </c>
      <c r="E349" s="2" t="s">
        <v>110</v>
      </c>
      <c r="F349" s="2" t="s">
        <v>65</v>
      </c>
      <c r="G349" s="2" t="s">
        <v>2035</v>
      </c>
      <c r="H349" s="2" t="s">
        <v>77</v>
      </c>
      <c r="I349" s="2" t="s">
        <v>78</v>
      </c>
      <c r="J349" s="2" t="s">
        <v>111</v>
      </c>
      <c r="K349" s="2" t="s">
        <v>67</v>
      </c>
      <c r="L349" s="22">
        <v>346533.6</v>
      </c>
      <c r="M349" s="22">
        <v>226560</v>
      </c>
      <c r="N349" s="2" t="s">
        <v>39</v>
      </c>
      <c r="O349" s="7">
        <v>0</v>
      </c>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c r="AR349" s="7"/>
      <c r="AS349" s="7"/>
      <c r="AT349" s="7"/>
      <c r="AU349" s="7">
        <v>226560</v>
      </c>
      <c r="AV349" s="7"/>
      <c r="AW349" s="7"/>
      <c r="AX349" s="7"/>
      <c r="AY349" s="7"/>
      <c r="AZ349" s="7"/>
      <c r="BA349" s="7"/>
      <c r="BB349" s="7"/>
      <c r="BC349" s="7"/>
      <c r="BD349" s="7"/>
      <c r="BE349" s="7"/>
      <c r="BF349" s="7"/>
      <c r="BG349" s="7"/>
      <c r="BH349" s="7"/>
      <c r="BI349" s="7"/>
      <c r="BJ349" s="7"/>
      <c r="BK349" s="7"/>
      <c r="BL349" s="7"/>
      <c r="BM349" s="7"/>
      <c r="BN349" s="7"/>
      <c r="BO349" s="7"/>
      <c r="BP349" s="2"/>
      <c r="BQ349" s="8">
        <v>45810</v>
      </c>
      <c r="BR349" s="8"/>
      <c r="BS349" s="8" t="s">
        <v>1695</v>
      </c>
      <c r="BT349" s="14">
        <f t="shared" si="18"/>
        <v>226560</v>
      </c>
      <c r="BU349" s="2" t="str">
        <f t="shared" si="16"/>
        <v>OK</v>
      </c>
      <c r="BV349" s="13">
        <f t="shared" si="17"/>
        <v>0</v>
      </c>
    </row>
    <row r="350" spans="1:74" s="9" customFormat="1" ht="99.95" customHeight="1" x14ac:dyDescent="0.25">
      <c r="A350" s="2" t="s">
        <v>1164</v>
      </c>
      <c r="B350" s="2" t="s">
        <v>112</v>
      </c>
      <c r="C350" s="2" t="s">
        <v>74</v>
      </c>
      <c r="D350" s="12" t="s">
        <v>1895</v>
      </c>
      <c r="E350" s="2" t="s">
        <v>114</v>
      </c>
      <c r="F350" s="2" t="s">
        <v>65</v>
      </c>
      <c r="G350" s="2" t="s">
        <v>2035</v>
      </c>
      <c r="H350" s="2" t="s">
        <v>77</v>
      </c>
      <c r="I350" s="2" t="s">
        <v>78</v>
      </c>
      <c r="J350" s="2" t="s">
        <v>115</v>
      </c>
      <c r="K350" s="2" t="s">
        <v>67</v>
      </c>
      <c r="L350" s="22">
        <v>557031.48</v>
      </c>
      <c r="M350" s="22">
        <v>339840</v>
      </c>
      <c r="N350" s="2" t="s">
        <v>39</v>
      </c>
      <c r="O350" s="7">
        <v>0</v>
      </c>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v>339840</v>
      </c>
      <c r="AV350" s="7"/>
      <c r="AW350" s="7"/>
      <c r="AX350" s="7"/>
      <c r="AY350" s="7"/>
      <c r="AZ350" s="7"/>
      <c r="BA350" s="7"/>
      <c r="BB350" s="7"/>
      <c r="BC350" s="7"/>
      <c r="BD350" s="7"/>
      <c r="BE350" s="7"/>
      <c r="BF350" s="7"/>
      <c r="BG350" s="7"/>
      <c r="BH350" s="7"/>
      <c r="BI350" s="7"/>
      <c r="BJ350" s="7"/>
      <c r="BK350" s="7"/>
      <c r="BL350" s="7"/>
      <c r="BM350" s="7"/>
      <c r="BN350" s="7"/>
      <c r="BO350" s="7"/>
      <c r="BP350" s="2"/>
      <c r="BQ350" s="8">
        <v>45810</v>
      </c>
      <c r="BR350" s="8"/>
      <c r="BS350" s="8" t="s">
        <v>1695</v>
      </c>
      <c r="BT350" s="14">
        <f t="shared" si="18"/>
        <v>339840</v>
      </c>
      <c r="BU350" s="2" t="str">
        <f t="shared" si="16"/>
        <v>OK</v>
      </c>
      <c r="BV350" s="13">
        <f t="shared" si="17"/>
        <v>0</v>
      </c>
    </row>
    <row r="351" spans="1:74" s="9" customFormat="1" ht="99.95" customHeight="1" x14ac:dyDescent="0.25">
      <c r="A351" s="2" t="s">
        <v>1165</v>
      </c>
      <c r="B351" s="2" t="s">
        <v>116</v>
      </c>
      <c r="C351" s="2" t="s">
        <v>74</v>
      </c>
      <c r="D351" s="12" t="s">
        <v>1896</v>
      </c>
      <c r="E351" s="2" t="s">
        <v>118</v>
      </c>
      <c r="F351" s="2" t="s">
        <v>65</v>
      </c>
      <c r="G351" s="2" t="s">
        <v>2035</v>
      </c>
      <c r="H351" s="2" t="s">
        <v>77</v>
      </c>
      <c r="I351" s="2" t="s">
        <v>78</v>
      </c>
      <c r="J351" s="2" t="s">
        <v>119</v>
      </c>
      <c r="K351" s="2" t="s">
        <v>67</v>
      </c>
      <c r="L351" s="22">
        <v>209762</v>
      </c>
      <c r="M351" s="22">
        <v>56640</v>
      </c>
      <c r="N351" s="2" t="s">
        <v>39</v>
      </c>
      <c r="O351" s="7">
        <v>0</v>
      </c>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v>56640</v>
      </c>
      <c r="AV351" s="7"/>
      <c r="AW351" s="7"/>
      <c r="AX351" s="7"/>
      <c r="AY351" s="7"/>
      <c r="AZ351" s="7"/>
      <c r="BA351" s="7"/>
      <c r="BB351" s="7"/>
      <c r="BC351" s="7"/>
      <c r="BD351" s="7"/>
      <c r="BE351" s="7"/>
      <c r="BF351" s="7"/>
      <c r="BG351" s="7"/>
      <c r="BH351" s="7"/>
      <c r="BI351" s="7"/>
      <c r="BJ351" s="7"/>
      <c r="BK351" s="7"/>
      <c r="BL351" s="7"/>
      <c r="BM351" s="7"/>
      <c r="BN351" s="7"/>
      <c r="BO351" s="7"/>
      <c r="BP351" s="2"/>
      <c r="BQ351" s="8">
        <v>45810</v>
      </c>
      <c r="BR351" s="8"/>
      <c r="BS351" s="8" t="s">
        <v>1695</v>
      </c>
      <c r="BT351" s="14">
        <f t="shared" si="18"/>
        <v>56640</v>
      </c>
      <c r="BU351" s="2" t="str">
        <f t="shared" si="16"/>
        <v>OK</v>
      </c>
      <c r="BV351" s="13">
        <f t="shared" si="17"/>
        <v>0</v>
      </c>
    </row>
    <row r="352" spans="1:74" s="9" customFormat="1" ht="99.95" customHeight="1" x14ac:dyDescent="0.25">
      <c r="A352" s="2" t="s">
        <v>1166</v>
      </c>
      <c r="B352" s="2" t="s">
        <v>120</v>
      </c>
      <c r="C352" s="2" t="s">
        <v>74</v>
      </c>
      <c r="D352" s="12" t="s">
        <v>1897</v>
      </c>
      <c r="E352" s="2" t="s">
        <v>122</v>
      </c>
      <c r="F352" s="2" t="s">
        <v>65</v>
      </c>
      <c r="G352" s="2" t="s">
        <v>2035</v>
      </c>
      <c r="H352" s="2" t="s">
        <v>77</v>
      </c>
      <c r="I352" s="2" t="s">
        <v>78</v>
      </c>
      <c r="J352" s="2" t="s">
        <v>123</v>
      </c>
      <c r="K352" s="2" t="s">
        <v>67</v>
      </c>
      <c r="L352" s="22">
        <v>167327.35</v>
      </c>
      <c r="M352" s="22">
        <v>70800</v>
      </c>
      <c r="N352" s="2" t="s">
        <v>39</v>
      </c>
      <c r="O352" s="7">
        <v>0</v>
      </c>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v>70800</v>
      </c>
      <c r="AV352" s="7"/>
      <c r="AW352" s="7"/>
      <c r="AX352" s="7"/>
      <c r="AY352" s="7"/>
      <c r="AZ352" s="7"/>
      <c r="BA352" s="7"/>
      <c r="BB352" s="7"/>
      <c r="BC352" s="7"/>
      <c r="BD352" s="7"/>
      <c r="BE352" s="7"/>
      <c r="BF352" s="7"/>
      <c r="BG352" s="7"/>
      <c r="BH352" s="7"/>
      <c r="BI352" s="7"/>
      <c r="BJ352" s="7"/>
      <c r="BK352" s="7"/>
      <c r="BL352" s="7"/>
      <c r="BM352" s="7"/>
      <c r="BN352" s="7"/>
      <c r="BO352" s="7"/>
      <c r="BP352" s="2"/>
      <c r="BQ352" s="8">
        <v>45810</v>
      </c>
      <c r="BR352" s="8"/>
      <c r="BS352" s="8" t="s">
        <v>1695</v>
      </c>
      <c r="BT352" s="14">
        <f t="shared" si="18"/>
        <v>70800</v>
      </c>
      <c r="BU352" s="2" t="str">
        <f t="shared" si="16"/>
        <v>OK</v>
      </c>
      <c r="BV352" s="13">
        <f t="shared" si="17"/>
        <v>0</v>
      </c>
    </row>
    <row r="353" spans="1:74" s="9" customFormat="1" ht="99.95" customHeight="1" x14ac:dyDescent="0.25">
      <c r="A353" s="2" t="s">
        <v>1167</v>
      </c>
      <c r="B353" s="2" t="s">
        <v>124</v>
      </c>
      <c r="C353" s="2" t="s">
        <v>74</v>
      </c>
      <c r="D353" s="12" t="s">
        <v>1898</v>
      </c>
      <c r="E353" s="2" t="s">
        <v>126</v>
      </c>
      <c r="F353" s="2" t="s">
        <v>65</v>
      </c>
      <c r="G353" s="2" t="s">
        <v>2035</v>
      </c>
      <c r="H353" s="2" t="s">
        <v>77</v>
      </c>
      <c r="I353" s="2" t="s">
        <v>78</v>
      </c>
      <c r="J353" s="2" t="s">
        <v>127</v>
      </c>
      <c r="K353" s="2" t="s">
        <v>67</v>
      </c>
      <c r="L353" s="22">
        <v>3840732.9</v>
      </c>
      <c r="M353" s="22">
        <v>2548800</v>
      </c>
      <c r="N353" s="2" t="s">
        <v>39</v>
      </c>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c r="AT353" s="7"/>
      <c r="AU353" s="7">
        <v>2548800</v>
      </c>
      <c r="AV353" s="7"/>
      <c r="AW353" s="7"/>
      <c r="AX353" s="7"/>
      <c r="AY353" s="7"/>
      <c r="AZ353" s="7"/>
      <c r="BA353" s="7"/>
      <c r="BB353" s="7"/>
      <c r="BC353" s="7"/>
      <c r="BD353" s="7"/>
      <c r="BE353" s="7"/>
      <c r="BF353" s="7"/>
      <c r="BG353" s="7"/>
      <c r="BH353" s="7"/>
      <c r="BI353" s="7"/>
      <c r="BJ353" s="7"/>
      <c r="BK353" s="7"/>
      <c r="BL353" s="7"/>
      <c r="BM353" s="7"/>
      <c r="BN353" s="7"/>
      <c r="BO353" s="7"/>
      <c r="BP353" s="2"/>
      <c r="BQ353" s="8">
        <v>45810</v>
      </c>
      <c r="BR353" s="8"/>
      <c r="BS353" s="8" t="s">
        <v>1695</v>
      </c>
      <c r="BT353" s="14">
        <f t="shared" si="18"/>
        <v>2548800</v>
      </c>
      <c r="BU353" s="2" t="str">
        <f t="shared" si="16"/>
        <v>OK</v>
      </c>
      <c r="BV353" s="13">
        <f t="shared" si="17"/>
        <v>0</v>
      </c>
    </row>
    <row r="354" spans="1:74" s="9" customFormat="1" ht="99.95" customHeight="1" x14ac:dyDescent="0.25">
      <c r="A354" s="2" t="s">
        <v>1168</v>
      </c>
      <c r="B354" s="2" t="s">
        <v>128</v>
      </c>
      <c r="C354" s="2" t="s">
        <v>74</v>
      </c>
      <c r="D354" s="12" t="s">
        <v>1899</v>
      </c>
      <c r="E354" s="2" t="s">
        <v>130</v>
      </c>
      <c r="F354" s="2" t="s">
        <v>65</v>
      </c>
      <c r="G354" s="2" t="s">
        <v>2035</v>
      </c>
      <c r="H354" s="2" t="s">
        <v>77</v>
      </c>
      <c r="I354" s="2" t="s">
        <v>78</v>
      </c>
      <c r="J354" s="2" t="s">
        <v>131</v>
      </c>
      <c r="K354" s="2" t="s">
        <v>67</v>
      </c>
      <c r="L354" s="22">
        <v>519800.4</v>
      </c>
      <c r="M354" s="22">
        <v>396480</v>
      </c>
      <c r="N354" s="2" t="s">
        <v>39</v>
      </c>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c r="AT354" s="7"/>
      <c r="AU354" s="7">
        <v>396480</v>
      </c>
      <c r="AV354" s="7"/>
      <c r="AW354" s="7"/>
      <c r="AX354" s="7"/>
      <c r="AY354" s="7"/>
      <c r="AZ354" s="7"/>
      <c r="BA354" s="7"/>
      <c r="BB354" s="7"/>
      <c r="BC354" s="7"/>
      <c r="BD354" s="7"/>
      <c r="BE354" s="7"/>
      <c r="BF354" s="7"/>
      <c r="BG354" s="7"/>
      <c r="BH354" s="7"/>
      <c r="BI354" s="7"/>
      <c r="BJ354" s="7"/>
      <c r="BK354" s="7"/>
      <c r="BL354" s="7"/>
      <c r="BM354" s="7"/>
      <c r="BN354" s="7"/>
      <c r="BO354" s="7"/>
      <c r="BP354" s="2"/>
      <c r="BQ354" s="8">
        <v>45810</v>
      </c>
      <c r="BR354" s="8"/>
      <c r="BS354" s="8" t="s">
        <v>1695</v>
      </c>
      <c r="BT354" s="14">
        <f t="shared" si="18"/>
        <v>396480</v>
      </c>
      <c r="BU354" s="2" t="str">
        <f t="shared" si="16"/>
        <v>OK</v>
      </c>
      <c r="BV354" s="13">
        <f t="shared" si="17"/>
        <v>0</v>
      </c>
    </row>
    <row r="355" spans="1:74" s="9" customFormat="1" ht="99.95" customHeight="1" x14ac:dyDescent="0.25">
      <c r="A355" s="2" t="s">
        <v>1173</v>
      </c>
      <c r="B355" s="2" t="s">
        <v>148</v>
      </c>
      <c r="C355" s="2" t="s">
        <v>74</v>
      </c>
      <c r="D355" s="12" t="s">
        <v>1900</v>
      </c>
      <c r="E355" s="2" t="s">
        <v>150</v>
      </c>
      <c r="F355" s="2" t="s">
        <v>65</v>
      </c>
      <c r="G355" s="2" t="s">
        <v>2035</v>
      </c>
      <c r="H355" s="2" t="s">
        <v>77</v>
      </c>
      <c r="I355" s="2" t="s">
        <v>78</v>
      </c>
      <c r="J355" s="2" t="s">
        <v>151</v>
      </c>
      <c r="K355" s="2" t="s">
        <v>67</v>
      </c>
      <c r="L355" s="22">
        <v>239251.83</v>
      </c>
      <c r="M355" s="22">
        <v>198240</v>
      </c>
      <c r="N355" s="2" t="s">
        <v>39</v>
      </c>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c r="AT355" s="7"/>
      <c r="AU355" s="7">
        <v>198240</v>
      </c>
      <c r="AV355" s="7"/>
      <c r="AW355" s="7"/>
      <c r="AX355" s="7"/>
      <c r="AY355" s="7"/>
      <c r="AZ355" s="7"/>
      <c r="BA355" s="7"/>
      <c r="BB355" s="7"/>
      <c r="BC355" s="7"/>
      <c r="BD355" s="7"/>
      <c r="BE355" s="7"/>
      <c r="BF355" s="7"/>
      <c r="BG355" s="7"/>
      <c r="BH355" s="7"/>
      <c r="BI355" s="7"/>
      <c r="BJ355" s="7"/>
      <c r="BK355" s="7"/>
      <c r="BL355" s="7"/>
      <c r="BM355" s="7"/>
      <c r="BN355" s="7"/>
      <c r="BO355" s="7"/>
      <c r="BP355" s="2"/>
      <c r="BQ355" s="8">
        <v>45810</v>
      </c>
      <c r="BR355" s="8"/>
      <c r="BS355" s="8" t="s">
        <v>1695</v>
      </c>
      <c r="BT355" s="14">
        <f t="shared" si="18"/>
        <v>198240</v>
      </c>
      <c r="BU355" s="2" t="str">
        <f t="shared" si="16"/>
        <v>OK</v>
      </c>
      <c r="BV355" s="13">
        <f t="shared" si="17"/>
        <v>0</v>
      </c>
    </row>
    <row r="356" spans="1:74" s="9" customFormat="1" ht="99.95" customHeight="1" x14ac:dyDescent="0.25">
      <c r="A356" s="2" t="s">
        <v>1174</v>
      </c>
      <c r="B356" s="2" t="s">
        <v>152</v>
      </c>
      <c r="C356" s="2" t="s">
        <v>74</v>
      </c>
      <c r="D356" s="12" t="s">
        <v>1901</v>
      </c>
      <c r="E356" s="2" t="s">
        <v>154</v>
      </c>
      <c r="F356" s="2" t="s">
        <v>65</v>
      </c>
      <c r="G356" s="2" t="s">
        <v>2035</v>
      </c>
      <c r="H356" s="2" t="s">
        <v>77</v>
      </c>
      <c r="I356" s="2" t="s">
        <v>78</v>
      </c>
      <c r="J356" s="2" t="s">
        <v>115</v>
      </c>
      <c r="K356" s="2" t="s">
        <v>67</v>
      </c>
      <c r="L356" s="22">
        <v>544977.55000000005</v>
      </c>
      <c r="M356" s="22">
        <v>339840</v>
      </c>
      <c r="N356" s="2" t="s">
        <v>39</v>
      </c>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v>339840</v>
      </c>
      <c r="AV356" s="7"/>
      <c r="AW356" s="7"/>
      <c r="AX356" s="7"/>
      <c r="AY356" s="7"/>
      <c r="AZ356" s="7"/>
      <c r="BA356" s="7"/>
      <c r="BB356" s="7"/>
      <c r="BC356" s="7"/>
      <c r="BD356" s="7"/>
      <c r="BE356" s="7"/>
      <c r="BF356" s="7"/>
      <c r="BG356" s="7"/>
      <c r="BH356" s="7"/>
      <c r="BI356" s="7"/>
      <c r="BJ356" s="7"/>
      <c r="BK356" s="7"/>
      <c r="BL356" s="7"/>
      <c r="BM356" s="7"/>
      <c r="BN356" s="7"/>
      <c r="BO356" s="7"/>
      <c r="BP356" s="2"/>
      <c r="BQ356" s="8">
        <v>45810</v>
      </c>
      <c r="BR356" s="8"/>
      <c r="BS356" s="8" t="s">
        <v>1695</v>
      </c>
      <c r="BT356" s="14">
        <f t="shared" si="18"/>
        <v>339840</v>
      </c>
      <c r="BU356" s="2" t="str">
        <f t="shared" si="16"/>
        <v>OK</v>
      </c>
      <c r="BV356" s="13">
        <f t="shared" si="17"/>
        <v>0</v>
      </c>
    </row>
    <row r="357" spans="1:74" s="9" customFormat="1" ht="99.95" customHeight="1" x14ac:dyDescent="0.25">
      <c r="A357" s="2" t="s">
        <v>1175</v>
      </c>
      <c r="B357" s="2" t="s">
        <v>155</v>
      </c>
      <c r="C357" s="2" t="s">
        <v>74</v>
      </c>
      <c r="D357" s="12" t="s">
        <v>1902</v>
      </c>
      <c r="E357" s="2" t="s">
        <v>157</v>
      </c>
      <c r="F357" s="2" t="s">
        <v>65</v>
      </c>
      <c r="G357" s="2" t="s">
        <v>2035</v>
      </c>
      <c r="H357" s="2" t="s">
        <v>77</v>
      </c>
      <c r="I357" s="2" t="s">
        <v>78</v>
      </c>
      <c r="J357" s="2" t="s">
        <v>158</v>
      </c>
      <c r="K357" s="2" t="s">
        <v>67</v>
      </c>
      <c r="L357" s="22">
        <v>918374.63</v>
      </c>
      <c r="M357" s="22">
        <v>455952</v>
      </c>
      <c r="N357" s="2" t="s">
        <v>39</v>
      </c>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c r="AT357" s="7"/>
      <c r="AU357" s="7">
        <v>455952</v>
      </c>
      <c r="AV357" s="7"/>
      <c r="AW357" s="7"/>
      <c r="AX357" s="7"/>
      <c r="AY357" s="7"/>
      <c r="AZ357" s="7"/>
      <c r="BA357" s="7"/>
      <c r="BB357" s="7"/>
      <c r="BC357" s="7"/>
      <c r="BD357" s="7"/>
      <c r="BE357" s="7"/>
      <c r="BF357" s="7"/>
      <c r="BG357" s="7"/>
      <c r="BH357" s="7"/>
      <c r="BI357" s="7"/>
      <c r="BJ357" s="7"/>
      <c r="BK357" s="7"/>
      <c r="BL357" s="7"/>
      <c r="BM357" s="7"/>
      <c r="BN357" s="7"/>
      <c r="BO357" s="7"/>
      <c r="BP357" s="2"/>
      <c r="BQ357" s="8">
        <v>45810</v>
      </c>
      <c r="BR357" s="8"/>
      <c r="BS357" s="2" t="s">
        <v>1695</v>
      </c>
      <c r="BT357" s="14">
        <f t="shared" si="18"/>
        <v>455952</v>
      </c>
      <c r="BU357" s="2" t="str">
        <f t="shared" si="16"/>
        <v>OK</v>
      </c>
      <c r="BV357" s="13">
        <f t="shared" si="17"/>
        <v>0</v>
      </c>
    </row>
    <row r="358" spans="1:74" s="9" customFormat="1" ht="99.95" customHeight="1" x14ac:dyDescent="0.25">
      <c r="A358" s="2" t="s">
        <v>1176</v>
      </c>
      <c r="B358" s="2" t="s">
        <v>159</v>
      </c>
      <c r="C358" s="2" t="s">
        <v>74</v>
      </c>
      <c r="D358" s="12" t="s">
        <v>1903</v>
      </c>
      <c r="E358" s="3" t="s">
        <v>161</v>
      </c>
      <c r="F358" s="2" t="s">
        <v>65</v>
      </c>
      <c r="G358" s="2" t="s">
        <v>2035</v>
      </c>
      <c r="H358" s="2" t="s">
        <v>77</v>
      </c>
      <c r="I358" s="2" t="s">
        <v>78</v>
      </c>
      <c r="J358" s="2" t="s">
        <v>115</v>
      </c>
      <c r="K358" s="2" t="s">
        <v>67</v>
      </c>
      <c r="L358" s="22">
        <v>816829.2</v>
      </c>
      <c r="M358" s="22">
        <v>339840</v>
      </c>
      <c r="N358" s="2" t="s">
        <v>39</v>
      </c>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v>339840</v>
      </c>
      <c r="AV358" s="7"/>
      <c r="AW358" s="7"/>
      <c r="AX358" s="7"/>
      <c r="AY358" s="7"/>
      <c r="AZ358" s="7"/>
      <c r="BA358" s="7"/>
      <c r="BB358" s="7"/>
      <c r="BC358" s="7"/>
      <c r="BD358" s="7"/>
      <c r="BE358" s="7"/>
      <c r="BF358" s="7"/>
      <c r="BG358" s="7"/>
      <c r="BH358" s="7"/>
      <c r="BI358" s="7"/>
      <c r="BJ358" s="7"/>
      <c r="BK358" s="7"/>
      <c r="BL358" s="7"/>
      <c r="BM358" s="7"/>
      <c r="BN358" s="7"/>
      <c r="BO358" s="7"/>
      <c r="BP358" s="2"/>
      <c r="BQ358" s="8">
        <v>45810</v>
      </c>
      <c r="BR358" s="8"/>
      <c r="BS358" s="8" t="s">
        <v>1698</v>
      </c>
      <c r="BT358" s="14">
        <f t="shared" si="18"/>
        <v>339840</v>
      </c>
      <c r="BU358" s="2" t="str">
        <f t="shared" si="16"/>
        <v>OK</v>
      </c>
      <c r="BV358" s="13">
        <f t="shared" si="17"/>
        <v>0</v>
      </c>
    </row>
    <row r="359" spans="1:74" s="9" customFormat="1" ht="99.95" customHeight="1" x14ac:dyDescent="0.25">
      <c r="A359" s="2" t="s">
        <v>1177</v>
      </c>
      <c r="B359" s="2" t="s">
        <v>162</v>
      </c>
      <c r="C359" s="2" t="s">
        <v>74</v>
      </c>
      <c r="D359" s="12" t="s">
        <v>1904</v>
      </c>
      <c r="E359" s="2" t="s">
        <v>164</v>
      </c>
      <c r="F359" s="2" t="s">
        <v>65</v>
      </c>
      <c r="G359" s="2" t="s">
        <v>2035</v>
      </c>
      <c r="H359" s="2" t="s">
        <v>77</v>
      </c>
      <c r="I359" s="2" t="s">
        <v>78</v>
      </c>
      <c r="J359" s="2" t="s">
        <v>165</v>
      </c>
      <c r="K359" s="2" t="s">
        <v>67</v>
      </c>
      <c r="L359" s="22">
        <v>2840716.6</v>
      </c>
      <c r="M359" s="22">
        <v>1132800</v>
      </c>
      <c r="N359" s="2" t="s">
        <v>39</v>
      </c>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c r="AR359" s="7"/>
      <c r="AS359" s="7"/>
      <c r="AT359" s="7"/>
      <c r="AU359" s="7">
        <v>1132800</v>
      </c>
      <c r="AV359" s="7"/>
      <c r="AW359" s="7"/>
      <c r="AX359" s="7"/>
      <c r="AY359" s="7"/>
      <c r="AZ359" s="7"/>
      <c r="BA359" s="7"/>
      <c r="BB359" s="7"/>
      <c r="BC359" s="7"/>
      <c r="BD359" s="7"/>
      <c r="BE359" s="7"/>
      <c r="BF359" s="7"/>
      <c r="BG359" s="7"/>
      <c r="BH359" s="7"/>
      <c r="BI359" s="7"/>
      <c r="BJ359" s="7"/>
      <c r="BK359" s="7"/>
      <c r="BL359" s="7"/>
      <c r="BM359" s="7"/>
      <c r="BN359" s="7"/>
      <c r="BO359" s="7"/>
      <c r="BP359" s="2"/>
      <c r="BQ359" s="8">
        <v>45810</v>
      </c>
      <c r="BR359" s="8"/>
      <c r="BS359" s="8" t="s">
        <v>1698</v>
      </c>
      <c r="BT359" s="14">
        <f t="shared" si="18"/>
        <v>1132800</v>
      </c>
      <c r="BU359" s="2" t="str">
        <f t="shared" si="16"/>
        <v>OK</v>
      </c>
      <c r="BV359" s="13">
        <f t="shared" si="17"/>
        <v>0</v>
      </c>
    </row>
    <row r="360" spans="1:74" s="9" customFormat="1" ht="99.95" customHeight="1" x14ac:dyDescent="0.25">
      <c r="A360" s="2" t="s">
        <v>1178</v>
      </c>
      <c r="B360" s="2" t="s">
        <v>166</v>
      </c>
      <c r="C360" s="2" t="s">
        <v>74</v>
      </c>
      <c r="D360" s="12" t="s">
        <v>1905</v>
      </c>
      <c r="E360" s="3" t="s">
        <v>168</v>
      </c>
      <c r="F360" s="2" t="s">
        <v>65</v>
      </c>
      <c r="G360" s="2" t="s">
        <v>2035</v>
      </c>
      <c r="H360" s="2" t="s">
        <v>77</v>
      </c>
      <c r="I360" s="2" t="s">
        <v>78</v>
      </c>
      <c r="J360" s="2" t="s">
        <v>111</v>
      </c>
      <c r="K360" s="2" t="s">
        <v>67</v>
      </c>
      <c r="L360" s="22">
        <v>544552.80000000005</v>
      </c>
      <c r="M360" s="22">
        <v>226560</v>
      </c>
      <c r="N360" s="2" t="s">
        <v>39</v>
      </c>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c r="AR360" s="7"/>
      <c r="AS360" s="7"/>
      <c r="AT360" s="7"/>
      <c r="AU360" s="7">
        <v>226560</v>
      </c>
      <c r="AV360" s="7"/>
      <c r="AW360" s="7"/>
      <c r="AX360" s="7"/>
      <c r="AY360" s="7"/>
      <c r="AZ360" s="7"/>
      <c r="BA360" s="7"/>
      <c r="BB360" s="7"/>
      <c r="BC360" s="7"/>
      <c r="BD360" s="7"/>
      <c r="BE360" s="7"/>
      <c r="BF360" s="7"/>
      <c r="BG360" s="7"/>
      <c r="BH360" s="7"/>
      <c r="BI360" s="7"/>
      <c r="BJ360" s="7"/>
      <c r="BK360" s="7"/>
      <c r="BL360" s="7"/>
      <c r="BM360" s="7"/>
      <c r="BN360" s="7"/>
      <c r="BO360" s="7"/>
      <c r="BP360" s="2"/>
      <c r="BQ360" s="8">
        <v>45810</v>
      </c>
      <c r="BR360" s="8"/>
      <c r="BS360" s="8" t="s">
        <v>1698</v>
      </c>
      <c r="BT360" s="14">
        <f t="shared" si="18"/>
        <v>226560</v>
      </c>
      <c r="BU360" s="2" t="str">
        <f t="shared" si="16"/>
        <v>OK</v>
      </c>
      <c r="BV360" s="13">
        <f t="shared" si="17"/>
        <v>0</v>
      </c>
    </row>
    <row r="361" spans="1:74" s="9" customFormat="1" ht="99.95" customHeight="1" x14ac:dyDescent="0.25">
      <c r="A361" s="2" t="s">
        <v>1181</v>
      </c>
      <c r="B361" s="2" t="s">
        <v>177</v>
      </c>
      <c r="C361" s="2" t="s">
        <v>74</v>
      </c>
      <c r="D361" s="12" t="s">
        <v>1906</v>
      </c>
      <c r="E361" s="3" t="s">
        <v>179</v>
      </c>
      <c r="F361" s="2" t="s">
        <v>65</v>
      </c>
      <c r="G361" s="2" t="s">
        <v>2035</v>
      </c>
      <c r="H361" s="2" t="s">
        <v>77</v>
      </c>
      <c r="I361" s="2" t="s">
        <v>78</v>
      </c>
      <c r="J361" s="2" t="s">
        <v>180</v>
      </c>
      <c r="K361" s="2" t="s">
        <v>67</v>
      </c>
      <c r="L361" s="22">
        <v>340346.5</v>
      </c>
      <c r="M361" s="22">
        <v>141600</v>
      </c>
      <c r="N361" s="2" t="s">
        <v>39</v>
      </c>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v>141600</v>
      </c>
      <c r="AV361" s="7"/>
      <c r="AW361" s="7"/>
      <c r="AX361" s="7"/>
      <c r="AY361" s="7"/>
      <c r="AZ361" s="7"/>
      <c r="BA361" s="7"/>
      <c r="BB361" s="7"/>
      <c r="BC361" s="7"/>
      <c r="BD361" s="7"/>
      <c r="BE361" s="7"/>
      <c r="BF361" s="7"/>
      <c r="BG361" s="7"/>
      <c r="BH361" s="7"/>
      <c r="BI361" s="7"/>
      <c r="BJ361" s="7"/>
      <c r="BK361" s="7"/>
      <c r="BL361" s="7"/>
      <c r="BM361" s="7"/>
      <c r="BN361" s="7"/>
      <c r="BO361" s="7"/>
      <c r="BP361" s="2"/>
      <c r="BQ361" s="8">
        <v>45810</v>
      </c>
      <c r="BR361" s="8"/>
      <c r="BS361" s="8" t="s">
        <v>1698</v>
      </c>
      <c r="BT361" s="14">
        <f t="shared" si="18"/>
        <v>141600</v>
      </c>
      <c r="BU361" s="2" t="str">
        <f t="shared" si="16"/>
        <v>OK</v>
      </c>
      <c r="BV361" s="13">
        <f t="shared" si="17"/>
        <v>0</v>
      </c>
    </row>
    <row r="362" spans="1:74" s="9" customFormat="1" ht="99.95" customHeight="1" x14ac:dyDescent="0.25">
      <c r="A362" s="2" t="s">
        <v>1185</v>
      </c>
      <c r="B362" s="2" t="s">
        <v>191</v>
      </c>
      <c r="C362" s="2" t="s">
        <v>74</v>
      </c>
      <c r="D362" s="12" t="s">
        <v>1907</v>
      </c>
      <c r="E362" s="2" t="s">
        <v>193</v>
      </c>
      <c r="F362" s="2" t="s">
        <v>65</v>
      </c>
      <c r="G362" s="2" t="s">
        <v>2035</v>
      </c>
      <c r="H362" s="2" t="s">
        <v>77</v>
      </c>
      <c r="I362" s="2" t="s">
        <v>78</v>
      </c>
      <c r="J362" s="2" t="s">
        <v>115</v>
      </c>
      <c r="K362" s="2" t="s">
        <v>67</v>
      </c>
      <c r="L362" s="22">
        <v>816829.2</v>
      </c>
      <c r="M362" s="22">
        <v>339840</v>
      </c>
      <c r="N362" s="2" t="s">
        <v>39</v>
      </c>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v>339840</v>
      </c>
      <c r="AV362" s="7"/>
      <c r="AW362" s="7"/>
      <c r="AX362" s="7"/>
      <c r="AY362" s="7"/>
      <c r="AZ362" s="7"/>
      <c r="BA362" s="7"/>
      <c r="BB362" s="7"/>
      <c r="BC362" s="7"/>
      <c r="BD362" s="7"/>
      <c r="BE362" s="7"/>
      <c r="BF362" s="7"/>
      <c r="BG362" s="7"/>
      <c r="BH362" s="7"/>
      <c r="BI362" s="7"/>
      <c r="BJ362" s="7"/>
      <c r="BK362" s="7"/>
      <c r="BL362" s="7"/>
      <c r="BM362" s="7"/>
      <c r="BN362" s="7"/>
      <c r="BO362" s="7"/>
      <c r="BP362" s="2"/>
      <c r="BQ362" s="8">
        <v>45810</v>
      </c>
      <c r="BR362" s="8"/>
      <c r="BS362" s="8" t="s">
        <v>1698</v>
      </c>
      <c r="BT362" s="14">
        <f t="shared" si="18"/>
        <v>339840</v>
      </c>
      <c r="BU362" s="2" t="str">
        <f t="shared" si="16"/>
        <v>OK</v>
      </c>
      <c r="BV362" s="13">
        <f t="shared" si="17"/>
        <v>0</v>
      </c>
    </row>
    <row r="363" spans="1:74" s="9" customFormat="1" ht="99.95" customHeight="1" x14ac:dyDescent="0.25">
      <c r="A363" s="2" t="s">
        <v>1187</v>
      </c>
      <c r="B363" s="2" t="s">
        <v>198</v>
      </c>
      <c r="C363" s="2" t="s">
        <v>74</v>
      </c>
      <c r="D363" s="12" t="s">
        <v>1908</v>
      </c>
      <c r="E363" s="2" t="s">
        <v>200</v>
      </c>
      <c r="F363" s="2" t="s">
        <v>65</v>
      </c>
      <c r="G363" s="2" t="s">
        <v>2035</v>
      </c>
      <c r="H363" s="2" t="s">
        <v>77</v>
      </c>
      <c r="I363" s="2" t="s">
        <v>78</v>
      </c>
      <c r="J363" s="2" t="s">
        <v>201</v>
      </c>
      <c r="K363" s="2" t="s">
        <v>67</v>
      </c>
      <c r="L363" s="22">
        <v>372510.84</v>
      </c>
      <c r="M363" s="22">
        <v>147264</v>
      </c>
      <c r="N363" s="2" t="s">
        <v>39</v>
      </c>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v>147264</v>
      </c>
      <c r="AV363" s="7"/>
      <c r="AW363" s="7"/>
      <c r="AX363" s="7"/>
      <c r="AY363" s="7"/>
      <c r="AZ363" s="7"/>
      <c r="BA363" s="7"/>
      <c r="BB363" s="7"/>
      <c r="BC363" s="7"/>
      <c r="BD363" s="7"/>
      <c r="BE363" s="7"/>
      <c r="BF363" s="7"/>
      <c r="BG363" s="7"/>
      <c r="BH363" s="7"/>
      <c r="BI363" s="7"/>
      <c r="BJ363" s="7"/>
      <c r="BK363" s="7"/>
      <c r="BL363" s="7"/>
      <c r="BM363" s="7"/>
      <c r="BN363" s="7"/>
      <c r="BO363" s="7"/>
      <c r="BP363" s="2"/>
      <c r="BQ363" s="8">
        <v>45810</v>
      </c>
      <c r="BR363" s="8"/>
      <c r="BS363" s="8" t="s">
        <v>1698</v>
      </c>
      <c r="BT363" s="14">
        <f t="shared" si="18"/>
        <v>147264</v>
      </c>
      <c r="BU363" s="2" t="str">
        <f t="shared" si="16"/>
        <v>OK</v>
      </c>
      <c r="BV363" s="13">
        <f t="shared" si="17"/>
        <v>0</v>
      </c>
    </row>
    <row r="364" spans="1:74" s="9" customFormat="1" ht="99.95" customHeight="1" x14ac:dyDescent="0.25">
      <c r="A364" s="2" t="s">
        <v>1188</v>
      </c>
      <c r="B364" s="2" t="s">
        <v>202</v>
      </c>
      <c r="C364" s="2" t="s">
        <v>74</v>
      </c>
      <c r="D364" s="12" t="s">
        <v>1909</v>
      </c>
      <c r="E364" s="2" t="s">
        <v>204</v>
      </c>
      <c r="F364" s="2" t="s">
        <v>65</v>
      </c>
      <c r="G364" s="2" t="s">
        <v>2035</v>
      </c>
      <c r="H364" s="2" t="s">
        <v>77</v>
      </c>
      <c r="I364" s="2" t="s">
        <v>78</v>
      </c>
      <c r="J364" s="2" t="s">
        <v>107</v>
      </c>
      <c r="K364" s="2" t="s">
        <v>67</v>
      </c>
      <c r="L364" s="22">
        <v>272275.40000000002</v>
      </c>
      <c r="M364" s="22">
        <v>113280</v>
      </c>
      <c r="N364" s="2" t="s">
        <v>39</v>
      </c>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c r="AT364" s="7"/>
      <c r="AU364" s="7">
        <v>113280</v>
      </c>
      <c r="AV364" s="7"/>
      <c r="AW364" s="7"/>
      <c r="AX364" s="7"/>
      <c r="AY364" s="7"/>
      <c r="AZ364" s="7"/>
      <c r="BA364" s="7"/>
      <c r="BB364" s="7"/>
      <c r="BC364" s="7"/>
      <c r="BD364" s="7"/>
      <c r="BE364" s="7"/>
      <c r="BF364" s="7"/>
      <c r="BG364" s="7"/>
      <c r="BH364" s="7"/>
      <c r="BI364" s="7"/>
      <c r="BJ364" s="7"/>
      <c r="BK364" s="7"/>
      <c r="BL364" s="7"/>
      <c r="BM364" s="7"/>
      <c r="BN364" s="7"/>
      <c r="BO364" s="7"/>
      <c r="BP364" s="2"/>
      <c r="BQ364" s="8">
        <v>45810</v>
      </c>
      <c r="BR364" s="8"/>
      <c r="BS364" s="8" t="s">
        <v>1698</v>
      </c>
      <c r="BT364" s="14">
        <f t="shared" si="18"/>
        <v>113280</v>
      </c>
      <c r="BU364" s="2" t="str">
        <f t="shared" si="16"/>
        <v>OK</v>
      </c>
      <c r="BV364" s="13">
        <f t="shared" si="17"/>
        <v>0</v>
      </c>
    </row>
    <row r="365" spans="1:74" s="9" customFormat="1" ht="99.95" customHeight="1" x14ac:dyDescent="0.25">
      <c r="A365" s="2" t="s">
        <v>1190</v>
      </c>
      <c r="B365" s="2" t="s">
        <v>209</v>
      </c>
      <c r="C365" s="2" t="s">
        <v>74</v>
      </c>
      <c r="D365" s="12" t="s">
        <v>1910</v>
      </c>
      <c r="E365" s="2" t="s">
        <v>211</v>
      </c>
      <c r="F365" s="2" t="s">
        <v>65</v>
      </c>
      <c r="G365" s="2" t="s">
        <v>2035</v>
      </c>
      <c r="H365" s="2" t="s">
        <v>77</v>
      </c>
      <c r="I365" s="2" t="s">
        <v>78</v>
      </c>
      <c r="J365" s="2" t="s">
        <v>212</v>
      </c>
      <c r="K365" s="2" t="s">
        <v>67</v>
      </c>
      <c r="L365" s="22">
        <v>510518.25</v>
      </c>
      <c r="M365" s="22">
        <v>212400</v>
      </c>
      <c r="N365" s="2" t="s">
        <v>39</v>
      </c>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c r="AT365" s="7"/>
      <c r="AU365" s="7">
        <v>212400</v>
      </c>
      <c r="AV365" s="7"/>
      <c r="AW365" s="7"/>
      <c r="AX365" s="7"/>
      <c r="AY365" s="7"/>
      <c r="AZ365" s="7"/>
      <c r="BA365" s="7"/>
      <c r="BB365" s="7"/>
      <c r="BC365" s="7"/>
      <c r="BD365" s="7"/>
      <c r="BE365" s="7"/>
      <c r="BF365" s="7"/>
      <c r="BG365" s="7"/>
      <c r="BH365" s="7"/>
      <c r="BI365" s="7"/>
      <c r="BJ365" s="7"/>
      <c r="BK365" s="7"/>
      <c r="BL365" s="7"/>
      <c r="BM365" s="7"/>
      <c r="BN365" s="7"/>
      <c r="BO365" s="7"/>
      <c r="BP365" s="2"/>
      <c r="BQ365" s="8">
        <v>45810</v>
      </c>
      <c r="BR365" s="8"/>
      <c r="BS365" s="8" t="s">
        <v>1698</v>
      </c>
      <c r="BT365" s="14">
        <f t="shared" si="18"/>
        <v>212400</v>
      </c>
      <c r="BU365" s="2" t="str">
        <f t="shared" si="16"/>
        <v>OK</v>
      </c>
      <c r="BV365" s="13">
        <f t="shared" si="17"/>
        <v>0</v>
      </c>
    </row>
    <row r="366" spans="1:74" s="9" customFormat="1" ht="99.95" customHeight="1" x14ac:dyDescent="0.25">
      <c r="A366" s="2" t="s">
        <v>1194</v>
      </c>
      <c r="B366" s="2" t="s">
        <v>225</v>
      </c>
      <c r="C366" s="2" t="s">
        <v>74</v>
      </c>
      <c r="D366" s="12" t="s">
        <v>1911</v>
      </c>
      <c r="E366" s="2" t="s">
        <v>227</v>
      </c>
      <c r="F366" s="2" t="s">
        <v>65</v>
      </c>
      <c r="G366" s="2" t="s">
        <v>2035</v>
      </c>
      <c r="H366" s="2" t="s">
        <v>77</v>
      </c>
      <c r="I366" s="2" t="s">
        <v>78</v>
      </c>
      <c r="J366" s="2" t="s">
        <v>180</v>
      </c>
      <c r="K366" s="2" t="s">
        <v>67</v>
      </c>
      <c r="L366" s="22">
        <v>340345.5</v>
      </c>
      <c r="M366" s="22">
        <v>141600</v>
      </c>
      <c r="N366" s="2" t="s">
        <v>39</v>
      </c>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v>141600</v>
      </c>
      <c r="AV366" s="7"/>
      <c r="AW366" s="7"/>
      <c r="AX366" s="7"/>
      <c r="AY366" s="7"/>
      <c r="AZ366" s="7"/>
      <c r="BA366" s="7"/>
      <c r="BB366" s="7"/>
      <c r="BC366" s="7"/>
      <c r="BD366" s="7"/>
      <c r="BE366" s="7"/>
      <c r="BF366" s="7"/>
      <c r="BG366" s="7"/>
      <c r="BH366" s="7"/>
      <c r="BI366" s="7"/>
      <c r="BJ366" s="7"/>
      <c r="BK366" s="7"/>
      <c r="BL366" s="7"/>
      <c r="BM366" s="7"/>
      <c r="BN366" s="7"/>
      <c r="BO366" s="7"/>
      <c r="BP366" s="2"/>
      <c r="BQ366" s="8">
        <v>45810</v>
      </c>
      <c r="BR366" s="8"/>
      <c r="BS366" s="8" t="s">
        <v>1698</v>
      </c>
      <c r="BT366" s="14">
        <f t="shared" si="18"/>
        <v>141600</v>
      </c>
      <c r="BU366" s="2" t="str">
        <f t="shared" si="16"/>
        <v>OK</v>
      </c>
      <c r="BV366" s="13">
        <f t="shared" si="17"/>
        <v>0</v>
      </c>
    </row>
    <row r="367" spans="1:74" s="9" customFormat="1" ht="99.95" customHeight="1" x14ac:dyDescent="0.25">
      <c r="A367" s="2" t="s">
        <v>1197</v>
      </c>
      <c r="B367" s="2" t="s">
        <v>236</v>
      </c>
      <c r="C367" s="2" t="s">
        <v>74</v>
      </c>
      <c r="D367" s="12" t="s">
        <v>1912</v>
      </c>
      <c r="E367" s="2" t="s">
        <v>238</v>
      </c>
      <c r="F367" s="2" t="s">
        <v>65</v>
      </c>
      <c r="G367" s="2" t="s">
        <v>2035</v>
      </c>
      <c r="H367" s="2" t="s">
        <v>77</v>
      </c>
      <c r="I367" s="2" t="s">
        <v>78</v>
      </c>
      <c r="J367" s="2" t="s">
        <v>239</v>
      </c>
      <c r="K367" s="2" t="s">
        <v>67</v>
      </c>
      <c r="L367" s="22">
        <v>748760.1</v>
      </c>
      <c r="M367" s="22">
        <v>311520</v>
      </c>
      <c r="N367" s="2" t="s">
        <v>39</v>
      </c>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c r="AS367" s="7"/>
      <c r="AT367" s="7"/>
      <c r="AU367" s="7">
        <v>311520</v>
      </c>
      <c r="AV367" s="7"/>
      <c r="AW367" s="7"/>
      <c r="AX367" s="7"/>
      <c r="AY367" s="7"/>
      <c r="AZ367" s="7"/>
      <c r="BA367" s="7"/>
      <c r="BB367" s="7"/>
      <c r="BC367" s="7"/>
      <c r="BD367" s="7"/>
      <c r="BE367" s="7"/>
      <c r="BF367" s="7"/>
      <c r="BG367" s="7"/>
      <c r="BH367" s="7"/>
      <c r="BI367" s="7"/>
      <c r="BJ367" s="7"/>
      <c r="BK367" s="7"/>
      <c r="BL367" s="7"/>
      <c r="BM367" s="7"/>
      <c r="BN367" s="7"/>
      <c r="BO367" s="7"/>
      <c r="BP367" s="2"/>
      <c r="BQ367" s="8">
        <v>45810</v>
      </c>
      <c r="BR367" s="8"/>
      <c r="BS367" s="2" t="s">
        <v>1698</v>
      </c>
      <c r="BT367" s="14">
        <f t="shared" si="18"/>
        <v>311520</v>
      </c>
      <c r="BU367" s="2" t="str">
        <f t="shared" si="16"/>
        <v>OK</v>
      </c>
      <c r="BV367" s="13">
        <f t="shared" si="17"/>
        <v>0</v>
      </c>
    </row>
    <row r="368" spans="1:74" s="9" customFormat="1" ht="99.95" customHeight="1" x14ac:dyDescent="0.25">
      <c r="A368" s="2" t="s">
        <v>1199</v>
      </c>
      <c r="B368" s="2" t="s">
        <v>243</v>
      </c>
      <c r="C368" s="2" t="s">
        <v>74</v>
      </c>
      <c r="D368" s="12" t="s">
        <v>1913</v>
      </c>
      <c r="E368" s="2" t="s">
        <v>245</v>
      </c>
      <c r="F368" s="2" t="s">
        <v>65</v>
      </c>
      <c r="G368" s="2" t="s">
        <v>2035</v>
      </c>
      <c r="H368" s="2" t="s">
        <v>77</v>
      </c>
      <c r="I368" s="2" t="s">
        <v>78</v>
      </c>
      <c r="J368" s="2" t="s">
        <v>107</v>
      </c>
      <c r="K368" s="2" t="s">
        <v>67</v>
      </c>
      <c r="L368" s="22">
        <v>280358.7</v>
      </c>
      <c r="M368" s="22">
        <v>113280</v>
      </c>
      <c r="N368" s="2" t="s">
        <v>39</v>
      </c>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c r="AR368" s="7"/>
      <c r="AS368" s="7"/>
      <c r="AT368" s="7"/>
      <c r="AU368" s="7">
        <v>113280</v>
      </c>
      <c r="AV368" s="7"/>
      <c r="AW368" s="7"/>
      <c r="AX368" s="7"/>
      <c r="AY368" s="7"/>
      <c r="AZ368" s="7"/>
      <c r="BA368" s="7"/>
      <c r="BB368" s="7"/>
      <c r="BC368" s="7"/>
      <c r="BD368" s="7"/>
      <c r="BE368" s="7"/>
      <c r="BF368" s="7"/>
      <c r="BG368" s="7"/>
      <c r="BH368" s="7"/>
      <c r="BI368" s="7"/>
      <c r="BJ368" s="7"/>
      <c r="BK368" s="7"/>
      <c r="BL368" s="7"/>
      <c r="BM368" s="7"/>
      <c r="BN368" s="7"/>
      <c r="BO368" s="7"/>
      <c r="BP368" s="2"/>
      <c r="BQ368" s="8">
        <v>45810</v>
      </c>
      <c r="BR368" s="8"/>
      <c r="BS368" s="8" t="s">
        <v>1698</v>
      </c>
      <c r="BT368" s="14">
        <f t="shared" si="18"/>
        <v>113280</v>
      </c>
      <c r="BU368" s="2" t="str">
        <f t="shared" si="16"/>
        <v>OK</v>
      </c>
      <c r="BV368" s="13">
        <f t="shared" si="17"/>
        <v>0</v>
      </c>
    </row>
    <row r="369" spans="1:74" s="9" customFormat="1" ht="99.95" customHeight="1" x14ac:dyDescent="0.25">
      <c r="A369" s="2" t="s">
        <v>1201</v>
      </c>
      <c r="B369" s="2" t="s">
        <v>250</v>
      </c>
      <c r="C369" s="2" t="s">
        <v>74</v>
      </c>
      <c r="D369" s="12" t="s">
        <v>1914</v>
      </c>
      <c r="E369" s="2" t="s">
        <v>252</v>
      </c>
      <c r="F369" s="2" t="s">
        <v>65</v>
      </c>
      <c r="G369" s="2" t="s">
        <v>2035</v>
      </c>
      <c r="H369" s="2" t="s">
        <v>77</v>
      </c>
      <c r="I369" s="2" t="s">
        <v>78</v>
      </c>
      <c r="J369" s="2" t="s">
        <v>111</v>
      </c>
      <c r="K369" s="2" t="s">
        <v>67</v>
      </c>
      <c r="L369" s="22">
        <v>544552.80000000005</v>
      </c>
      <c r="M369" s="22">
        <v>226560</v>
      </c>
      <c r="N369" s="2" t="s">
        <v>39</v>
      </c>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c r="AT369" s="7"/>
      <c r="AU369" s="7">
        <v>226560</v>
      </c>
      <c r="AV369" s="7"/>
      <c r="AW369" s="7"/>
      <c r="AX369" s="7"/>
      <c r="AY369" s="7"/>
      <c r="AZ369" s="7"/>
      <c r="BA369" s="7"/>
      <c r="BB369" s="7"/>
      <c r="BC369" s="7"/>
      <c r="BD369" s="7"/>
      <c r="BE369" s="7"/>
      <c r="BF369" s="7"/>
      <c r="BG369" s="7"/>
      <c r="BH369" s="7"/>
      <c r="BI369" s="7"/>
      <c r="BJ369" s="7"/>
      <c r="BK369" s="7"/>
      <c r="BL369" s="7"/>
      <c r="BM369" s="7"/>
      <c r="BN369" s="7"/>
      <c r="BO369" s="7"/>
      <c r="BP369" s="2"/>
      <c r="BQ369" s="8">
        <v>45810</v>
      </c>
      <c r="BR369" s="8"/>
      <c r="BS369" s="8" t="s">
        <v>1698</v>
      </c>
      <c r="BT369" s="14">
        <f t="shared" si="18"/>
        <v>226560</v>
      </c>
      <c r="BU369" s="2" t="str">
        <f t="shared" si="16"/>
        <v>OK</v>
      </c>
      <c r="BV369" s="13">
        <f t="shared" si="17"/>
        <v>0</v>
      </c>
    </row>
    <row r="370" spans="1:74" s="9" customFormat="1" ht="99.95" customHeight="1" x14ac:dyDescent="0.25">
      <c r="A370" s="2" t="s">
        <v>1203</v>
      </c>
      <c r="B370" s="2" t="s">
        <v>257</v>
      </c>
      <c r="C370" s="2" t="s">
        <v>74</v>
      </c>
      <c r="D370" s="12" t="s">
        <v>1915</v>
      </c>
      <c r="E370" s="2" t="s">
        <v>259</v>
      </c>
      <c r="F370" s="2" t="s">
        <v>65</v>
      </c>
      <c r="G370" s="2" t="s">
        <v>2035</v>
      </c>
      <c r="H370" s="2" t="s">
        <v>77</v>
      </c>
      <c r="I370" s="2" t="s">
        <v>78</v>
      </c>
      <c r="J370" s="2" t="s">
        <v>260</v>
      </c>
      <c r="K370" s="2" t="s">
        <v>67</v>
      </c>
      <c r="L370" s="22">
        <v>2042073</v>
      </c>
      <c r="M370" s="22">
        <v>849600</v>
      </c>
      <c r="N370" s="2" t="s">
        <v>39</v>
      </c>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c r="AT370" s="7"/>
      <c r="AU370" s="7">
        <v>849600</v>
      </c>
      <c r="AV370" s="7"/>
      <c r="AW370" s="7"/>
      <c r="AX370" s="7"/>
      <c r="AY370" s="7"/>
      <c r="AZ370" s="7"/>
      <c r="BA370" s="7"/>
      <c r="BB370" s="7"/>
      <c r="BC370" s="7"/>
      <c r="BD370" s="7"/>
      <c r="BE370" s="7"/>
      <c r="BF370" s="7"/>
      <c r="BG370" s="7"/>
      <c r="BH370" s="7"/>
      <c r="BI370" s="7"/>
      <c r="BJ370" s="7"/>
      <c r="BK370" s="7"/>
      <c r="BL370" s="7"/>
      <c r="BM370" s="7"/>
      <c r="BN370" s="7"/>
      <c r="BO370" s="7"/>
      <c r="BP370" s="2"/>
      <c r="BQ370" s="8">
        <v>45810</v>
      </c>
      <c r="BR370" s="8"/>
      <c r="BS370" s="8" t="s">
        <v>1698</v>
      </c>
      <c r="BT370" s="14">
        <f t="shared" si="18"/>
        <v>849600</v>
      </c>
      <c r="BU370" s="2" t="str">
        <f t="shared" si="16"/>
        <v>OK</v>
      </c>
      <c r="BV370" s="13">
        <f t="shared" si="17"/>
        <v>0</v>
      </c>
    </row>
    <row r="371" spans="1:74" s="9" customFormat="1" ht="99.95" customHeight="1" x14ac:dyDescent="0.25">
      <c r="A371" s="2" t="s">
        <v>1205</v>
      </c>
      <c r="B371" s="2" t="s">
        <v>264</v>
      </c>
      <c r="C371" s="2" t="s">
        <v>74</v>
      </c>
      <c r="D371" s="12" t="s">
        <v>1916</v>
      </c>
      <c r="E371" s="2" t="s">
        <v>266</v>
      </c>
      <c r="F371" s="2" t="s">
        <v>65</v>
      </c>
      <c r="G371" s="2" t="s">
        <v>2035</v>
      </c>
      <c r="H371" s="2" t="s">
        <v>77</v>
      </c>
      <c r="I371" s="2" t="s">
        <v>78</v>
      </c>
      <c r="J371" s="2" t="s">
        <v>107</v>
      </c>
      <c r="K371" s="2" t="s">
        <v>67</v>
      </c>
      <c r="L371" s="22">
        <v>272276.40000000002</v>
      </c>
      <c r="M371" s="22">
        <v>113280</v>
      </c>
      <c r="N371" s="2" t="s">
        <v>39</v>
      </c>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v>113280</v>
      </c>
      <c r="AV371" s="7"/>
      <c r="AW371" s="7"/>
      <c r="AX371" s="7"/>
      <c r="AY371" s="7"/>
      <c r="AZ371" s="7"/>
      <c r="BA371" s="7"/>
      <c r="BB371" s="7"/>
      <c r="BC371" s="7"/>
      <c r="BD371" s="7"/>
      <c r="BE371" s="7"/>
      <c r="BF371" s="7"/>
      <c r="BG371" s="7"/>
      <c r="BH371" s="7"/>
      <c r="BI371" s="7"/>
      <c r="BJ371" s="7"/>
      <c r="BK371" s="7"/>
      <c r="BL371" s="7"/>
      <c r="BM371" s="7"/>
      <c r="BN371" s="7"/>
      <c r="BO371" s="7"/>
      <c r="BP371" s="2"/>
      <c r="BQ371" s="8">
        <v>45810</v>
      </c>
      <c r="BR371" s="8"/>
      <c r="BS371" s="8" t="s">
        <v>1698</v>
      </c>
      <c r="BT371" s="14">
        <f t="shared" si="18"/>
        <v>113280</v>
      </c>
      <c r="BU371" s="2" t="str">
        <f t="shared" si="16"/>
        <v>OK</v>
      </c>
      <c r="BV371" s="13">
        <f t="shared" si="17"/>
        <v>0</v>
      </c>
    </row>
    <row r="372" spans="1:74" s="9" customFormat="1" ht="99.95" customHeight="1" x14ac:dyDescent="0.25">
      <c r="A372" s="2" t="s">
        <v>1206</v>
      </c>
      <c r="B372" s="2" t="s">
        <v>267</v>
      </c>
      <c r="C372" s="2" t="s">
        <v>74</v>
      </c>
      <c r="D372" s="12" t="s">
        <v>1917</v>
      </c>
      <c r="E372" s="2" t="s">
        <v>269</v>
      </c>
      <c r="F372" s="2" t="s">
        <v>65</v>
      </c>
      <c r="G372" s="2" t="s">
        <v>2035</v>
      </c>
      <c r="H372" s="2" t="s">
        <v>77</v>
      </c>
      <c r="I372" s="2" t="s">
        <v>78</v>
      </c>
      <c r="J372" s="2" t="s">
        <v>270</v>
      </c>
      <c r="K372" s="2" t="s">
        <v>67</v>
      </c>
      <c r="L372" s="22">
        <v>1334154.3600000001</v>
      </c>
      <c r="M372" s="22">
        <v>555072</v>
      </c>
      <c r="N372" s="2" t="s">
        <v>39</v>
      </c>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c r="AT372" s="7"/>
      <c r="AU372" s="7">
        <v>555072</v>
      </c>
      <c r="AV372" s="7"/>
      <c r="AW372" s="7"/>
      <c r="AX372" s="7"/>
      <c r="AY372" s="7"/>
      <c r="AZ372" s="7"/>
      <c r="BA372" s="7"/>
      <c r="BB372" s="7"/>
      <c r="BC372" s="7"/>
      <c r="BD372" s="7"/>
      <c r="BE372" s="7"/>
      <c r="BF372" s="7"/>
      <c r="BG372" s="7"/>
      <c r="BH372" s="7"/>
      <c r="BI372" s="7"/>
      <c r="BJ372" s="7"/>
      <c r="BK372" s="7"/>
      <c r="BL372" s="7"/>
      <c r="BM372" s="7"/>
      <c r="BN372" s="7"/>
      <c r="BO372" s="7"/>
      <c r="BP372" s="2"/>
      <c r="BQ372" s="8">
        <v>45810</v>
      </c>
      <c r="BR372" s="8"/>
      <c r="BS372" s="8" t="s">
        <v>1698</v>
      </c>
      <c r="BT372" s="14">
        <f t="shared" si="18"/>
        <v>555072</v>
      </c>
      <c r="BU372" s="2" t="str">
        <f t="shared" si="16"/>
        <v>OK</v>
      </c>
      <c r="BV372" s="13">
        <f t="shared" si="17"/>
        <v>0</v>
      </c>
    </row>
    <row r="373" spans="1:74" s="9" customFormat="1" ht="99.95" customHeight="1" x14ac:dyDescent="0.25">
      <c r="A373" s="2" t="s">
        <v>1218</v>
      </c>
      <c r="B373" s="2" t="s">
        <v>297</v>
      </c>
      <c r="C373" s="2" t="s">
        <v>274</v>
      </c>
      <c r="D373" s="12" t="s">
        <v>298</v>
      </c>
      <c r="E373" s="2" t="s">
        <v>299</v>
      </c>
      <c r="F373" s="2" t="s">
        <v>72</v>
      </c>
      <c r="G373" s="2" t="s">
        <v>2035</v>
      </c>
      <c r="H373" s="2" t="s">
        <v>77</v>
      </c>
      <c r="I373" s="2" t="s">
        <v>5</v>
      </c>
      <c r="J373" s="23">
        <v>357584</v>
      </c>
      <c r="K373" s="2" t="s">
        <v>67</v>
      </c>
      <c r="L373" s="22">
        <v>1693015.69</v>
      </c>
      <c r="M373" s="22">
        <v>1693015.69</v>
      </c>
      <c r="N373" s="2" t="s">
        <v>40</v>
      </c>
      <c r="O373" s="7">
        <v>0</v>
      </c>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c r="AT373" s="7"/>
      <c r="AU373" s="7"/>
      <c r="AV373" s="7">
        <v>1693015.69</v>
      </c>
      <c r="AW373" s="7"/>
      <c r="AX373" s="7"/>
      <c r="AY373" s="7"/>
      <c r="AZ373" s="7"/>
      <c r="BA373" s="7"/>
      <c r="BB373" s="7"/>
      <c r="BC373" s="7"/>
      <c r="BD373" s="7"/>
      <c r="BE373" s="7"/>
      <c r="BF373" s="7"/>
      <c r="BG373" s="7"/>
      <c r="BH373" s="7"/>
      <c r="BI373" s="7"/>
      <c r="BJ373" s="7"/>
      <c r="BK373" s="7"/>
      <c r="BL373" s="7"/>
      <c r="BM373" s="7"/>
      <c r="BN373" s="7"/>
      <c r="BO373" s="7"/>
      <c r="BP373" s="2"/>
      <c r="BQ373" s="8">
        <v>45915</v>
      </c>
      <c r="BR373" s="8"/>
      <c r="BS373" s="8" t="s">
        <v>1739</v>
      </c>
      <c r="BT373" s="14">
        <f t="shared" si="18"/>
        <v>1693015.69</v>
      </c>
      <c r="BU373" s="2" t="str">
        <f t="shared" si="16"/>
        <v>OK</v>
      </c>
      <c r="BV373" s="13">
        <f t="shared" si="17"/>
        <v>0</v>
      </c>
    </row>
    <row r="374" spans="1:74" s="9" customFormat="1" ht="99.95" customHeight="1" x14ac:dyDescent="0.25">
      <c r="A374" s="2" t="s">
        <v>1591</v>
      </c>
      <c r="B374" s="2" t="s">
        <v>1110</v>
      </c>
      <c r="C374" s="2" t="s">
        <v>1041</v>
      </c>
      <c r="D374" s="12" t="s">
        <v>1111</v>
      </c>
      <c r="E374" s="2" t="s">
        <v>1112</v>
      </c>
      <c r="F374" s="2" t="s">
        <v>65</v>
      </c>
      <c r="G374" s="2" t="s">
        <v>2035</v>
      </c>
      <c r="H374" s="2" t="s">
        <v>77</v>
      </c>
      <c r="I374" s="15" t="s">
        <v>1618</v>
      </c>
      <c r="J374" s="15" t="s">
        <v>1618</v>
      </c>
      <c r="K374" s="2" t="s">
        <v>67</v>
      </c>
      <c r="L374" s="22">
        <v>17420184.129999999</v>
      </c>
      <c r="M374" s="22">
        <v>12020602.93</v>
      </c>
      <c r="N374" s="2" t="s">
        <v>43</v>
      </c>
      <c r="O374" s="7">
        <v>0</v>
      </c>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v>12020602.93</v>
      </c>
      <c r="AZ374" s="7"/>
      <c r="BA374" s="7"/>
      <c r="BB374" s="7"/>
      <c r="BC374" s="7"/>
      <c r="BD374" s="7"/>
      <c r="BE374" s="7"/>
      <c r="BF374" s="7"/>
      <c r="BG374" s="7"/>
      <c r="BH374" s="7"/>
      <c r="BI374" s="7"/>
      <c r="BJ374" s="7"/>
      <c r="BK374" s="7"/>
      <c r="BL374" s="7"/>
      <c r="BM374" s="7"/>
      <c r="BN374" s="7"/>
      <c r="BO374" s="7"/>
      <c r="BP374" s="2"/>
      <c r="BQ374" s="8">
        <v>46264</v>
      </c>
      <c r="BR374" s="8"/>
      <c r="BS374" s="2" t="s">
        <v>1855</v>
      </c>
      <c r="BT374" s="14">
        <f t="shared" si="18"/>
        <v>12020602.93</v>
      </c>
      <c r="BU374" s="2" t="str">
        <f t="shared" si="16"/>
        <v>OK</v>
      </c>
      <c r="BV374" s="13">
        <f t="shared" si="17"/>
        <v>0</v>
      </c>
    </row>
    <row r="375" spans="1:74" s="9" customFormat="1" ht="140.1" customHeight="1" x14ac:dyDescent="0.25">
      <c r="A375" s="2" t="s">
        <v>1343</v>
      </c>
      <c r="B375" s="2" t="s">
        <v>582</v>
      </c>
      <c r="C375" s="2" t="s">
        <v>552</v>
      </c>
      <c r="D375" s="12" t="s">
        <v>1793</v>
      </c>
      <c r="E375" s="2" t="s">
        <v>583</v>
      </c>
      <c r="F375" s="2" t="s">
        <v>72</v>
      </c>
      <c r="G375" s="2" t="s">
        <v>1788</v>
      </c>
      <c r="H375" s="2" t="s">
        <v>294</v>
      </c>
      <c r="I375" s="2" t="s">
        <v>1618</v>
      </c>
      <c r="J375" s="2" t="s">
        <v>1618</v>
      </c>
      <c r="K375" s="2" t="s">
        <v>67</v>
      </c>
      <c r="L375" s="22">
        <v>31946958.27</v>
      </c>
      <c r="M375" s="22">
        <v>26123167.829999998</v>
      </c>
      <c r="N375" s="2" t="s">
        <v>558</v>
      </c>
      <c r="O375" s="7"/>
      <c r="P375" s="7"/>
      <c r="Q375" s="7"/>
      <c r="R375" s="7"/>
      <c r="S375" s="7"/>
      <c r="T375" s="7"/>
      <c r="U375" s="7"/>
      <c r="V375" s="30">
        <v>783695.03489999997</v>
      </c>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c r="BA375" s="7"/>
      <c r="BB375" s="7"/>
      <c r="BC375" s="7"/>
      <c r="BD375" s="30">
        <v>10971730.488599999</v>
      </c>
      <c r="BE375" s="30">
        <v>14367742.306500001</v>
      </c>
      <c r="BF375" s="7"/>
      <c r="BG375" s="7"/>
      <c r="BH375" s="7"/>
      <c r="BI375" s="7"/>
      <c r="BJ375" s="7"/>
      <c r="BK375" s="7"/>
      <c r="BL375" s="7"/>
      <c r="BM375" s="7"/>
      <c r="BN375" s="7"/>
      <c r="BO375" s="7"/>
      <c r="BP375" s="8"/>
      <c r="BQ375" s="8">
        <v>45670</v>
      </c>
      <c r="BR375" s="2"/>
      <c r="BS375" s="8" t="s">
        <v>1756</v>
      </c>
      <c r="BT375" s="14">
        <f t="shared" si="18"/>
        <v>26123167.829999998</v>
      </c>
      <c r="BU375" s="2" t="str">
        <f t="shared" si="16"/>
        <v>OK</v>
      </c>
      <c r="BV375" s="13">
        <f t="shared" si="17"/>
        <v>0</v>
      </c>
    </row>
    <row r="376" spans="1:74" s="9" customFormat="1" ht="140.1" customHeight="1" x14ac:dyDescent="0.25">
      <c r="A376" s="2" t="s">
        <v>1337</v>
      </c>
      <c r="B376" s="2" t="s">
        <v>567</v>
      </c>
      <c r="C376" s="2" t="s">
        <v>552</v>
      </c>
      <c r="D376" s="12" t="s">
        <v>1789</v>
      </c>
      <c r="E376" s="2" t="s">
        <v>568</v>
      </c>
      <c r="F376" s="2" t="s">
        <v>72</v>
      </c>
      <c r="G376" s="2" t="s">
        <v>1788</v>
      </c>
      <c r="H376" s="2" t="s">
        <v>294</v>
      </c>
      <c r="I376" s="2" t="s">
        <v>1618</v>
      </c>
      <c r="J376" s="2" t="s">
        <v>1618</v>
      </c>
      <c r="K376" s="2" t="s">
        <v>67</v>
      </c>
      <c r="L376" s="22">
        <v>63545155.829999998</v>
      </c>
      <c r="M376" s="22">
        <v>27966520.629999999</v>
      </c>
      <c r="N376" s="2" t="s">
        <v>558</v>
      </c>
      <c r="O376" s="7"/>
      <c r="P376" s="7"/>
      <c r="Q376" s="7"/>
      <c r="R376" s="7"/>
      <c r="S376" s="7"/>
      <c r="T376" s="7"/>
      <c r="U376" s="7"/>
      <c r="V376" s="7">
        <v>838995.62</v>
      </c>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c r="AZ376" s="7"/>
      <c r="BA376" s="7"/>
      <c r="BB376" s="7"/>
      <c r="BC376" s="7"/>
      <c r="BD376" s="7">
        <v>11745938.66</v>
      </c>
      <c r="BE376" s="30">
        <v>15381586.3465</v>
      </c>
      <c r="BF376" s="7"/>
      <c r="BG376" s="7"/>
      <c r="BH376" s="7"/>
      <c r="BI376" s="7"/>
      <c r="BJ376" s="7"/>
      <c r="BK376" s="7"/>
      <c r="BL376" s="7"/>
      <c r="BM376" s="7"/>
      <c r="BN376" s="7"/>
      <c r="BO376" s="7"/>
      <c r="BP376" s="8"/>
      <c r="BQ376" s="8">
        <v>45719</v>
      </c>
      <c r="BR376" s="2"/>
      <c r="BS376" s="8" t="s">
        <v>1756</v>
      </c>
      <c r="BT376" s="14">
        <f t="shared" si="18"/>
        <v>27966520.626499999</v>
      </c>
      <c r="BU376" s="2" t="str">
        <f t="shared" si="16"/>
        <v>CORRIGIR</v>
      </c>
      <c r="BV376" s="13">
        <f t="shared" si="17"/>
        <v>3.4999996423721313E-3</v>
      </c>
    </row>
    <row r="377" spans="1:74" s="9" customFormat="1" ht="140.1" customHeight="1" x14ac:dyDescent="0.25">
      <c r="A377" s="2" t="s">
        <v>1338</v>
      </c>
      <c r="B377" s="2" t="s">
        <v>569</v>
      </c>
      <c r="C377" s="2" t="s">
        <v>552</v>
      </c>
      <c r="D377" s="12" t="s">
        <v>1790</v>
      </c>
      <c r="E377" s="2" t="s">
        <v>570</v>
      </c>
      <c r="F377" s="2" t="s">
        <v>72</v>
      </c>
      <c r="G377" s="2" t="s">
        <v>1788</v>
      </c>
      <c r="H377" s="2" t="s">
        <v>294</v>
      </c>
      <c r="I377" s="2" t="s">
        <v>1618</v>
      </c>
      <c r="J377" s="2" t="s">
        <v>1618</v>
      </c>
      <c r="K377" s="2" t="s">
        <v>67</v>
      </c>
      <c r="L377" s="22">
        <v>55136025.840000004</v>
      </c>
      <c r="M377" s="22">
        <v>22892697.899999999</v>
      </c>
      <c r="N377" s="2" t="s">
        <v>558</v>
      </c>
      <c r="O377" s="7"/>
      <c r="P377" s="7"/>
      <c r="Q377" s="7"/>
      <c r="R377" s="7"/>
      <c r="S377" s="7"/>
      <c r="T377" s="7"/>
      <c r="U377" s="7"/>
      <c r="V377" s="30">
        <v>686780.93699999992</v>
      </c>
      <c r="W377" s="7"/>
      <c r="X377" s="7"/>
      <c r="Y377" s="7"/>
      <c r="Z377" s="7"/>
      <c r="AA377" s="7"/>
      <c r="AB377" s="7"/>
      <c r="AC377" s="7"/>
      <c r="AD377" s="7"/>
      <c r="AE377" s="7"/>
      <c r="AF377" s="7"/>
      <c r="AG377" s="7"/>
      <c r="AH377" s="7"/>
      <c r="AI377" s="7"/>
      <c r="AJ377" s="7"/>
      <c r="AK377" s="7"/>
      <c r="AL377" s="7"/>
      <c r="AM377" s="7"/>
      <c r="AN377" s="7"/>
      <c r="AO377" s="7"/>
      <c r="AP377" s="7"/>
      <c r="AQ377" s="7"/>
      <c r="AR377" s="7"/>
      <c r="AS377" s="7"/>
      <c r="AT377" s="7"/>
      <c r="AU377" s="7"/>
      <c r="AV377" s="7"/>
      <c r="AW377" s="7"/>
      <c r="AX377" s="7"/>
      <c r="AY377" s="7"/>
      <c r="AZ377" s="7"/>
      <c r="BA377" s="7"/>
      <c r="BB377" s="7"/>
      <c r="BC377" s="7"/>
      <c r="BD377" s="30">
        <v>9614933.1179999989</v>
      </c>
      <c r="BE377" s="30">
        <v>12590983.845000001</v>
      </c>
      <c r="BF377" s="7"/>
      <c r="BG377" s="7"/>
      <c r="BH377" s="7"/>
      <c r="BI377" s="7"/>
      <c r="BJ377" s="7"/>
      <c r="BK377" s="7"/>
      <c r="BL377" s="7"/>
      <c r="BM377" s="7"/>
      <c r="BN377" s="7"/>
      <c r="BO377" s="7"/>
      <c r="BP377" s="8"/>
      <c r="BQ377" s="8">
        <v>45753</v>
      </c>
      <c r="BR377" s="2"/>
      <c r="BS377" s="8" t="s">
        <v>1756</v>
      </c>
      <c r="BT377" s="14">
        <f t="shared" si="18"/>
        <v>22892697.899999999</v>
      </c>
      <c r="BU377" s="2" t="str">
        <f t="shared" si="16"/>
        <v>OK</v>
      </c>
      <c r="BV377" s="13">
        <f t="shared" si="17"/>
        <v>0</v>
      </c>
    </row>
    <row r="378" spans="1:74" s="9" customFormat="1" ht="141.75" customHeight="1" x14ac:dyDescent="0.25">
      <c r="A378" s="2" t="s">
        <v>1336</v>
      </c>
      <c r="B378" s="2" t="s">
        <v>556</v>
      </c>
      <c r="C378" s="2" t="s">
        <v>552</v>
      </c>
      <c r="D378" s="12" t="s">
        <v>1787</v>
      </c>
      <c r="E378" s="15" t="s">
        <v>557</v>
      </c>
      <c r="F378" s="2" t="s">
        <v>65</v>
      </c>
      <c r="G378" s="2" t="s">
        <v>1788</v>
      </c>
      <c r="H378" s="2" t="s">
        <v>294</v>
      </c>
      <c r="I378" s="2" t="s">
        <v>1618</v>
      </c>
      <c r="J378" s="2" t="s">
        <v>1618</v>
      </c>
      <c r="K378" s="2" t="s">
        <v>67</v>
      </c>
      <c r="L378" s="22">
        <v>65683795.469999999</v>
      </c>
      <c r="M378" s="22">
        <v>19497636.059999999</v>
      </c>
      <c r="N378" s="2" t="s">
        <v>558</v>
      </c>
      <c r="O378" s="7"/>
      <c r="P378" s="7"/>
      <c r="Q378" s="7"/>
      <c r="R378" s="7"/>
      <c r="S378" s="7"/>
      <c r="T378" s="7"/>
      <c r="U378" s="7"/>
      <c r="V378" s="7">
        <v>584929.07999999996</v>
      </c>
      <c r="W378" s="7"/>
      <c r="X378" s="7"/>
      <c r="Y378" s="7"/>
      <c r="Z378" s="7"/>
      <c r="AA378" s="7"/>
      <c r="AB378" s="7"/>
      <c r="AC378" s="7"/>
      <c r="AD378" s="7"/>
      <c r="AE378" s="7"/>
      <c r="AF378" s="7"/>
      <c r="AG378" s="7"/>
      <c r="AH378" s="7"/>
      <c r="AI378" s="7"/>
      <c r="AJ378" s="7"/>
      <c r="AK378" s="7"/>
      <c r="AL378" s="7"/>
      <c r="AM378" s="7"/>
      <c r="AN378" s="7"/>
      <c r="AO378" s="7"/>
      <c r="AP378" s="7"/>
      <c r="AQ378" s="7"/>
      <c r="AR378" s="7"/>
      <c r="AS378" s="7"/>
      <c r="AT378" s="7"/>
      <c r="AU378" s="7"/>
      <c r="AV378" s="7"/>
      <c r="AW378" s="7"/>
      <c r="AX378" s="7"/>
      <c r="AY378" s="7"/>
      <c r="AZ378" s="7"/>
      <c r="BA378" s="7"/>
      <c r="BB378" s="7"/>
      <c r="BC378" s="7"/>
      <c r="BD378" s="7">
        <v>8189007.1500000004</v>
      </c>
      <c r="BE378" s="7">
        <v>10723699.83</v>
      </c>
      <c r="BF378" s="7"/>
      <c r="BG378" s="7"/>
      <c r="BH378" s="7"/>
      <c r="BI378" s="7"/>
      <c r="BJ378" s="7"/>
      <c r="BK378" s="7"/>
      <c r="BL378" s="7"/>
      <c r="BM378" s="7"/>
      <c r="BN378" s="7"/>
      <c r="BO378" s="7"/>
      <c r="BP378" s="8"/>
      <c r="BQ378" s="8">
        <v>45883</v>
      </c>
      <c r="BR378" s="2"/>
      <c r="BS378" s="2" t="s">
        <v>1756</v>
      </c>
      <c r="BT378" s="14">
        <f t="shared" si="18"/>
        <v>19497636.060000002</v>
      </c>
      <c r="BU378" s="2" t="str">
        <f t="shared" si="16"/>
        <v>OK</v>
      </c>
      <c r="BV378" s="13">
        <f t="shared" si="17"/>
        <v>0</v>
      </c>
    </row>
    <row r="379" spans="1:74" s="9" customFormat="1" ht="150.75" customHeight="1" x14ac:dyDescent="0.25">
      <c r="A379" s="2" t="s">
        <v>1339</v>
      </c>
      <c r="B379" s="2" t="s">
        <v>566</v>
      </c>
      <c r="C379" s="2" t="s">
        <v>552</v>
      </c>
      <c r="D379" s="12" t="s">
        <v>1791</v>
      </c>
      <c r="E379" s="2" t="s">
        <v>564</v>
      </c>
      <c r="F379" s="2" t="s">
        <v>72</v>
      </c>
      <c r="G379" s="2" t="s">
        <v>1788</v>
      </c>
      <c r="H379" s="2" t="s">
        <v>294</v>
      </c>
      <c r="I379" s="2" t="s">
        <v>1618</v>
      </c>
      <c r="J379" s="2" t="s">
        <v>1618</v>
      </c>
      <c r="K379" s="2" t="s">
        <v>67</v>
      </c>
      <c r="L379" s="22">
        <v>42623891.539999999</v>
      </c>
      <c r="M379" s="22">
        <v>21452245.120000001</v>
      </c>
      <c r="N379" s="2" t="s">
        <v>558</v>
      </c>
      <c r="O379" s="7"/>
      <c r="P379" s="7"/>
      <c r="Q379" s="7"/>
      <c r="R379" s="7"/>
      <c r="S379" s="7"/>
      <c r="T379" s="7"/>
      <c r="U379" s="7"/>
      <c r="V379" s="30">
        <v>643567.35360000003</v>
      </c>
      <c r="W379" s="7"/>
      <c r="X379" s="7"/>
      <c r="Y379" s="7"/>
      <c r="Z379" s="7"/>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c r="AY379" s="7"/>
      <c r="AZ379" s="7"/>
      <c r="BA379" s="7"/>
      <c r="BB379" s="7"/>
      <c r="BC379" s="7"/>
      <c r="BD379" s="30">
        <v>9009942.9504000004</v>
      </c>
      <c r="BE379" s="30">
        <v>11798734.816000002</v>
      </c>
      <c r="BF379" s="7"/>
      <c r="BG379" s="7"/>
      <c r="BH379" s="7"/>
      <c r="BI379" s="7"/>
      <c r="BJ379" s="7"/>
      <c r="BK379" s="7"/>
      <c r="BL379" s="7"/>
      <c r="BM379" s="7"/>
      <c r="BN379" s="7"/>
      <c r="BO379" s="7"/>
      <c r="BP379" s="8"/>
      <c r="BQ379" s="8">
        <v>45920</v>
      </c>
      <c r="BR379" s="2"/>
      <c r="BS379" s="2" t="s">
        <v>1756</v>
      </c>
      <c r="BT379" s="14">
        <f t="shared" si="18"/>
        <v>21452245.120000005</v>
      </c>
      <c r="BU379" s="2" t="str">
        <f t="shared" si="16"/>
        <v>OK</v>
      </c>
      <c r="BV379" s="13">
        <f t="shared" si="17"/>
        <v>0</v>
      </c>
    </row>
    <row r="380" spans="1:74" s="9" customFormat="1" ht="140.1" customHeight="1" x14ac:dyDescent="0.25">
      <c r="A380" s="2" t="s">
        <v>1340</v>
      </c>
      <c r="B380" s="2" t="s">
        <v>559</v>
      </c>
      <c r="C380" s="2" t="s">
        <v>552</v>
      </c>
      <c r="D380" s="12" t="s">
        <v>1792</v>
      </c>
      <c r="E380" s="2" t="s">
        <v>560</v>
      </c>
      <c r="F380" s="2" t="s">
        <v>72</v>
      </c>
      <c r="G380" s="2" t="s">
        <v>1788</v>
      </c>
      <c r="H380" s="2" t="s">
        <v>77</v>
      </c>
      <c r="I380" s="2" t="s">
        <v>1618</v>
      </c>
      <c r="J380" s="2" t="s">
        <v>1618</v>
      </c>
      <c r="K380" s="2" t="s">
        <v>67</v>
      </c>
      <c r="L380" s="22">
        <v>41552877.872000001</v>
      </c>
      <c r="M380" s="22">
        <v>18579762.368000001</v>
      </c>
      <c r="N380" s="2" t="s">
        <v>558</v>
      </c>
      <c r="O380" s="7"/>
      <c r="P380" s="7"/>
      <c r="Q380" s="7"/>
      <c r="R380" s="7"/>
      <c r="S380" s="7"/>
      <c r="T380" s="7"/>
      <c r="U380" s="7"/>
      <c r="V380" s="30">
        <v>557392.87104</v>
      </c>
      <c r="W380" s="7"/>
      <c r="X380" s="7"/>
      <c r="Y380" s="7"/>
      <c r="Z380" s="7"/>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c r="AY380" s="7"/>
      <c r="AZ380" s="7"/>
      <c r="BA380" s="7"/>
      <c r="BB380" s="7"/>
      <c r="BC380" s="7"/>
      <c r="BD380" s="30">
        <v>7803500.1945599997</v>
      </c>
      <c r="BE380" s="30">
        <v>10218869.3024</v>
      </c>
      <c r="BF380" s="7"/>
      <c r="BG380" s="7"/>
      <c r="BH380" s="7"/>
      <c r="BI380" s="7"/>
      <c r="BJ380" s="7"/>
      <c r="BK380" s="7"/>
      <c r="BL380" s="7"/>
      <c r="BM380" s="7"/>
      <c r="BN380" s="7"/>
      <c r="BO380" s="7"/>
      <c r="BP380" s="2"/>
      <c r="BQ380" s="8">
        <v>45959</v>
      </c>
      <c r="BR380" s="8"/>
      <c r="BS380" s="2" t="s">
        <v>1757</v>
      </c>
      <c r="BT380" s="14">
        <f t="shared" si="18"/>
        <v>18579762.368000001</v>
      </c>
      <c r="BU380" s="2" t="str">
        <f t="shared" si="16"/>
        <v>OK</v>
      </c>
      <c r="BV380" s="13">
        <f t="shared" si="17"/>
        <v>0</v>
      </c>
    </row>
    <row r="381" spans="1:74" s="9" customFormat="1" ht="140.1" customHeight="1" x14ac:dyDescent="0.25">
      <c r="A381" s="2" t="s">
        <v>1385</v>
      </c>
      <c r="B381" s="2" t="s">
        <v>1119</v>
      </c>
      <c r="C381" s="2" t="s">
        <v>681</v>
      </c>
      <c r="D381" s="12" t="s">
        <v>682</v>
      </c>
      <c r="E381" s="2" t="s">
        <v>1731</v>
      </c>
      <c r="F381" s="2" t="s">
        <v>65</v>
      </c>
      <c r="G381" s="2" t="s">
        <v>1788</v>
      </c>
      <c r="H381" s="2" t="s">
        <v>77</v>
      </c>
      <c r="I381" s="2" t="s">
        <v>1618</v>
      </c>
      <c r="J381" s="2" t="s">
        <v>1618</v>
      </c>
      <c r="K381" s="2" t="s">
        <v>67</v>
      </c>
      <c r="L381" s="7">
        <v>56591529.840000004</v>
      </c>
      <c r="M381" s="22">
        <v>3405408.02</v>
      </c>
      <c r="N381" s="2" t="s">
        <v>683</v>
      </c>
      <c r="O381" s="7"/>
      <c r="P381" s="7"/>
      <c r="Q381" s="7"/>
      <c r="R381" s="7"/>
      <c r="S381" s="7"/>
      <c r="T381" s="7"/>
      <c r="U381" s="7"/>
      <c r="V381" s="7">
        <v>1021622.4</v>
      </c>
      <c r="W381" s="7"/>
      <c r="X381" s="7"/>
      <c r="Y381" s="7"/>
      <c r="Z381" s="7"/>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7"/>
      <c r="AZ381" s="7"/>
      <c r="BA381" s="7"/>
      <c r="BB381" s="7"/>
      <c r="BC381" s="7"/>
      <c r="BD381" s="7">
        <v>1123784.6499999999</v>
      </c>
      <c r="BE381" s="7">
        <v>1260000.97</v>
      </c>
      <c r="BF381" s="7"/>
      <c r="BG381" s="7"/>
      <c r="BH381" s="7"/>
      <c r="BI381" s="7"/>
      <c r="BJ381" s="7"/>
      <c r="BK381" s="7"/>
      <c r="BL381" s="7"/>
      <c r="BM381" s="7"/>
      <c r="BN381" s="7"/>
      <c r="BO381" s="7"/>
      <c r="BP381" s="2"/>
      <c r="BQ381" s="8">
        <v>46063</v>
      </c>
      <c r="BR381" s="8"/>
      <c r="BS381" s="8" t="s">
        <v>1851</v>
      </c>
      <c r="BT381" s="14">
        <f t="shared" si="18"/>
        <v>3405408.0199999996</v>
      </c>
      <c r="BU381" s="2" t="str">
        <f t="shared" si="16"/>
        <v>OK</v>
      </c>
      <c r="BV381" s="13">
        <f t="shared" si="17"/>
        <v>0</v>
      </c>
    </row>
    <row r="382" spans="1:74" s="9" customFormat="1" ht="33.75" x14ac:dyDescent="0.25">
      <c r="A382" s="2" t="s">
        <v>1388</v>
      </c>
      <c r="B382" s="2" t="s">
        <v>930</v>
      </c>
      <c r="C382" s="2" t="s">
        <v>681</v>
      </c>
      <c r="D382" s="12" t="s">
        <v>931</v>
      </c>
      <c r="E382" s="2" t="s">
        <v>1768</v>
      </c>
      <c r="F382" s="2" t="s">
        <v>72</v>
      </c>
      <c r="G382" s="2" t="s">
        <v>1788</v>
      </c>
      <c r="H382" s="2" t="s">
        <v>77</v>
      </c>
      <c r="I382" s="2" t="s">
        <v>1618</v>
      </c>
      <c r="J382" s="2" t="s">
        <v>1618</v>
      </c>
      <c r="K382" s="2" t="s">
        <v>67</v>
      </c>
      <c r="L382" s="22">
        <v>69681260.799999997</v>
      </c>
      <c r="M382" s="22">
        <v>23277086.93</v>
      </c>
      <c r="N382" s="2" t="s">
        <v>14</v>
      </c>
      <c r="O382" s="7">
        <v>0</v>
      </c>
      <c r="P382" s="7"/>
      <c r="Q382" s="7"/>
      <c r="R382" s="7"/>
      <c r="S382" s="7"/>
      <c r="T382" s="7"/>
      <c r="U382" s="7"/>
      <c r="V382" s="7">
        <v>23277086.93</v>
      </c>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c r="BB382" s="7"/>
      <c r="BC382" s="7"/>
      <c r="BD382" s="7"/>
      <c r="BE382" s="7"/>
      <c r="BF382" s="7"/>
      <c r="BG382" s="7"/>
      <c r="BH382" s="7"/>
      <c r="BI382" s="7"/>
      <c r="BJ382" s="7"/>
      <c r="BK382" s="7"/>
      <c r="BL382" s="7"/>
      <c r="BM382" s="7"/>
      <c r="BN382" s="7"/>
      <c r="BO382" s="7"/>
      <c r="BP382" s="2"/>
      <c r="BQ382" s="8">
        <v>46187</v>
      </c>
      <c r="BR382" s="8"/>
      <c r="BS382" s="8" t="s">
        <v>1767</v>
      </c>
      <c r="BT382" s="14">
        <f t="shared" si="18"/>
        <v>23277086.93</v>
      </c>
      <c r="BU382" s="2" t="str">
        <f t="shared" si="16"/>
        <v>OK</v>
      </c>
      <c r="BV382" s="13">
        <f t="shared" si="17"/>
        <v>0</v>
      </c>
    </row>
    <row r="383" spans="1:74" s="9" customFormat="1" ht="152.25" customHeight="1" x14ac:dyDescent="0.25">
      <c r="A383" s="2" t="s">
        <v>1348</v>
      </c>
      <c r="B383" s="2" t="s">
        <v>580</v>
      </c>
      <c r="C383" s="2" t="s">
        <v>552</v>
      </c>
      <c r="D383" s="12" t="s">
        <v>1797</v>
      </c>
      <c r="E383" s="2" t="s">
        <v>577</v>
      </c>
      <c r="F383" s="2" t="s">
        <v>72</v>
      </c>
      <c r="G383" s="2" t="s">
        <v>1788</v>
      </c>
      <c r="H383" s="2" t="s">
        <v>77</v>
      </c>
      <c r="I383" s="2" t="s">
        <v>1618</v>
      </c>
      <c r="J383" s="2" t="s">
        <v>1618</v>
      </c>
      <c r="K383" s="2" t="s">
        <v>67</v>
      </c>
      <c r="L383" s="22">
        <v>23563684.370000001</v>
      </c>
      <c r="M383" s="22">
        <v>10494433.289999999</v>
      </c>
      <c r="N383" s="2" t="s">
        <v>558</v>
      </c>
      <c r="O383" s="7"/>
      <c r="P383" s="7"/>
      <c r="Q383" s="7"/>
      <c r="R383" s="7"/>
      <c r="S383" s="7"/>
      <c r="T383" s="7"/>
      <c r="U383" s="7"/>
      <c r="V383" s="30">
        <v>314832.99869999994</v>
      </c>
      <c r="W383" s="7"/>
      <c r="X383" s="7"/>
      <c r="Y383" s="7"/>
      <c r="Z383" s="7"/>
      <c r="AA383" s="7"/>
      <c r="AB383" s="7"/>
      <c r="AC383" s="7"/>
      <c r="AD383" s="7"/>
      <c r="AE383" s="7"/>
      <c r="AF383" s="7"/>
      <c r="AG383" s="7"/>
      <c r="AH383" s="7"/>
      <c r="AI383" s="7"/>
      <c r="AJ383" s="7"/>
      <c r="AK383" s="7"/>
      <c r="AL383" s="7"/>
      <c r="AM383" s="7"/>
      <c r="AN383" s="7"/>
      <c r="AO383" s="7"/>
      <c r="AP383" s="7"/>
      <c r="AQ383" s="7"/>
      <c r="AR383" s="7"/>
      <c r="AS383" s="7"/>
      <c r="AT383" s="7"/>
      <c r="AU383" s="7"/>
      <c r="AV383" s="7"/>
      <c r="AW383" s="7"/>
      <c r="AX383" s="7"/>
      <c r="AY383" s="7"/>
      <c r="AZ383" s="7"/>
      <c r="BA383" s="7"/>
      <c r="BB383" s="7"/>
      <c r="BC383" s="7"/>
      <c r="BD383" s="30">
        <v>4407661.9817999993</v>
      </c>
      <c r="BE383" s="30">
        <v>5771938.3095000004</v>
      </c>
      <c r="BF383" s="7"/>
      <c r="BG383" s="7"/>
      <c r="BH383" s="7"/>
      <c r="BI383" s="7"/>
      <c r="BJ383" s="7"/>
      <c r="BK383" s="7"/>
      <c r="BL383" s="7"/>
      <c r="BM383" s="7"/>
      <c r="BN383" s="7"/>
      <c r="BO383" s="7"/>
      <c r="BP383" s="2"/>
      <c r="BQ383" s="8">
        <v>46258</v>
      </c>
      <c r="BR383" s="8"/>
      <c r="BS383" s="8" t="s">
        <v>1757</v>
      </c>
      <c r="BT383" s="14">
        <f t="shared" si="18"/>
        <v>10494433.289999999</v>
      </c>
      <c r="BU383" s="2" t="str">
        <f t="shared" si="16"/>
        <v>OK</v>
      </c>
      <c r="BV383" s="13">
        <f t="shared" si="17"/>
        <v>0</v>
      </c>
    </row>
    <row r="384" spans="1:74" s="9" customFormat="1" ht="140.1" customHeight="1" x14ac:dyDescent="0.25">
      <c r="A384" s="2" t="s">
        <v>1345</v>
      </c>
      <c r="B384" s="2" t="s">
        <v>571</v>
      </c>
      <c r="C384" s="2" t="s">
        <v>552</v>
      </c>
      <c r="D384" s="12" t="s">
        <v>1795</v>
      </c>
      <c r="E384" s="2" t="s">
        <v>572</v>
      </c>
      <c r="F384" s="2" t="s">
        <v>72</v>
      </c>
      <c r="G384" s="2" t="s">
        <v>1788</v>
      </c>
      <c r="H384" s="2" t="s">
        <v>77</v>
      </c>
      <c r="I384" s="2" t="s">
        <v>1618</v>
      </c>
      <c r="J384" s="2" t="s">
        <v>1618</v>
      </c>
      <c r="K384" s="2" t="s">
        <v>67</v>
      </c>
      <c r="L384" s="22">
        <v>27766826.030000001</v>
      </c>
      <c r="M384" s="22">
        <v>12342399.630000001</v>
      </c>
      <c r="N384" s="2" t="s">
        <v>558</v>
      </c>
      <c r="O384" s="7"/>
      <c r="P384" s="7"/>
      <c r="Q384" s="7"/>
      <c r="R384" s="7"/>
      <c r="S384" s="7"/>
      <c r="T384" s="7"/>
      <c r="U384" s="7"/>
      <c r="V384" s="30">
        <v>370271.9889</v>
      </c>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c r="BB384" s="7"/>
      <c r="BC384" s="7"/>
      <c r="BD384" s="30">
        <v>5183807.8446000004</v>
      </c>
      <c r="BE384" s="30">
        <v>6788319.7965000011</v>
      </c>
      <c r="BF384" s="7"/>
      <c r="BG384" s="7"/>
      <c r="BH384" s="7"/>
      <c r="BI384" s="7"/>
      <c r="BJ384" s="7"/>
      <c r="BK384" s="7"/>
      <c r="BL384" s="7"/>
      <c r="BM384" s="7"/>
      <c r="BN384" s="7"/>
      <c r="BO384" s="7"/>
      <c r="BP384" s="2"/>
      <c r="BQ384" s="8">
        <v>46264</v>
      </c>
      <c r="BR384" s="8"/>
      <c r="BS384" s="8" t="s">
        <v>1757</v>
      </c>
      <c r="BT384" s="14">
        <f t="shared" si="18"/>
        <v>12342399.630000003</v>
      </c>
      <c r="BU384" s="2" t="str">
        <f t="shared" si="16"/>
        <v>OK</v>
      </c>
      <c r="BV384" s="13">
        <f t="shared" si="17"/>
        <v>0</v>
      </c>
    </row>
    <row r="385" spans="1:74" s="9" customFormat="1" ht="140.1" customHeight="1" x14ac:dyDescent="0.25">
      <c r="A385" s="2" t="s">
        <v>1344</v>
      </c>
      <c r="B385" s="2" t="s">
        <v>573</v>
      </c>
      <c r="C385" s="2" t="s">
        <v>552</v>
      </c>
      <c r="D385" s="12" t="s">
        <v>1794</v>
      </c>
      <c r="E385" s="2" t="s">
        <v>574</v>
      </c>
      <c r="F385" s="2" t="s">
        <v>72</v>
      </c>
      <c r="G385" s="2" t="s">
        <v>1788</v>
      </c>
      <c r="H385" s="2" t="s">
        <v>77</v>
      </c>
      <c r="I385" s="2" t="s">
        <v>1618</v>
      </c>
      <c r="J385" s="2" t="s">
        <v>1618</v>
      </c>
      <c r="K385" s="2" t="s">
        <v>67</v>
      </c>
      <c r="L385" s="22">
        <v>29636033.800000001</v>
      </c>
      <c r="M385" s="22">
        <v>12024712.460000001</v>
      </c>
      <c r="N385" s="2" t="s">
        <v>558</v>
      </c>
      <c r="O385" s="7"/>
      <c r="P385" s="7"/>
      <c r="Q385" s="7"/>
      <c r="R385" s="7"/>
      <c r="S385" s="7"/>
      <c r="T385" s="7"/>
      <c r="U385" s="7"/>
      <c r="V385" s="30">
        <v>360741.3738</v>
      </c>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c r="BB385" s="7"/>
      <c r="BC385" s="7"/>
      <c r="BD385" s="30">
        <v>5050379.2332000006</v>
      </c>
      <c r="BE385" s="30">
        <v>6613591.8530000011</v>
      </c>
      <c r="BF385" s="7"/>
      <c r="BG385" s="7"/>
      <c r="BH385" s="7"/>
      <c r="BI385" s="7"/>
      <c r="BJ385" s="7"/>
      <c r="BK385" s="7"/>
      <c r="BL385" s="7"/>
      <c r="BM385" s="7"/>
      <c r="BN385" s="7"/>
      <c r="BO385" s="7"/>
      <c r="BP385" s="2"/>
      <c r="BQ385" s="8">
        <v>46340</v>
      </c>
      <c r="BR385" s="8"/>
      <c r="BS385" s="8" t="s">
        <v>1757</v>
      </c>
      <c r="BT385" s="14">
        <f t="shared" si="18"/>
        <v>12024712.460000001</v>
      </c>
      <c r="BU385" s="2" t="str">
        <f t="shared" si="16"/>
        <v>OK</v>
      </c>
      <c r="BV385" s="13">
        <f t="shared" si="17"/>
        <v>0</v>
      </c>
    </row>
    <row r="386" spans="1:74" s="9" customFormat="1" ht="140.1" customHeight="1" x14ac:dyDescent="0.25">
      <c r="A386" s="2" t="s">
        <v>1346</v>
      </c>
      <c r="B386" s="2" t="s">
        <v>578</v>
      </c>
      <c r="C386" s="2" t="s">
        <v>552</v>
      </c>
      <c r="D386" s="12" t="s">
        <v>1796</v>
      </c>
      <c r="E386" s="2" t="s">
        <v>579</v>
      </c>
      <c r="F386" s="2" t="s">
        <v>72</v>
      </c>
      <c r="G386" s="2" t="s">
        <v>1788</v>
      </c>
      <c r="H386" s="2" t="s">
        <v>77</v>
      </c>
      <c r="I386" s="2" t="s">
        <v>1618</v>
      </c>
      <c r="J386" s="2" t="s">
        <v>1618</v>
      </c>
      <c r="K386" s="2" t="s">
        <v>67</v>
      </c>
      <c r="L386" s="22">
        <v>26702177.879999999</v>
      </c>
      <c r="M386" s="22">
        <v>10195690.23</v>
      </c>
      <c r="N386" s="2" t="s">
        <v>558</v>
      </c>
      <c r="O386" s="7"/>
      <c r="P386" s="7"/>
      <c r="Q386" s="7"/>
      <c r="R386" s="7"/>
      <c r="S386" s="7"/>
      <c r="T386" s="7"/>
      <c r="U386" s="7"/>
      <c r="V386" s="30">
        <v>305870.70689999999</v>
      </c>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c r="BB386" s="7"/>
      <c r="BC386" s="7"/>
      <c r="BD386" s="30">
        <v>4282189.8965999996</v>
      </c>
      <c r="BE386" s="30">
        <v>5607629.6265000002</v>
      </c>
      <c r="BF386" s="7"/>
      <c r="BG386" s="7"/>
      <c r="BH386" s="7"/>
      <c r="BI386" s="7"/>
      <c r="BJ386" s="7"/>
      <c r="BK386" s="7"/>
      <c r="BL386" s="7"/>
      <c r="BM386" s="7"/>
      <c r="BN386" s="7"/>
      <c r="BO386" s="7"/>
      <c r="BP386" s="2"/>
      <c r="BQ386" s="8">
        <v>46352</v>
      </c>
      <c r="BR386" s="8"/>
      <c r="BS386" s="8" t="s">
        <v>1757</v>
      </c>
      <c r="BT386" s="14">
        <f t="shared" si="18"/>
        <v>10195690.23</v>
      </c>
      <c r="BU386" s="2" t="str">
        <f t="shared" si="16"/>
        <v>OK</v>
      </c>
      <c r="BV386" s="13">
        <f t="shared" si="17"/>
        <v>0</v>
      </c>
    </row>
    <row r="387" spans="1:74" s="9" customFormat="1" ht="90" x14ac:dyDescent="0.25">
      <c r="A387" s="2" t="s">
        <v>1214</v>
      </c>
      <c r="B387" s="2" t="s">
        <v>306</v>
      </c>
      <c r="C387" s="2" t="s">
        <v>274</v>
      </c>
      <c r="D387" s="12" t="s">
        <v>307</v>
      </c>
      <c r="E387" s="2" t="s">
        <v>308</v>
      </c>
      <c r="F387" s="2" t="s">
        <v>72</v>
      </c>
      <c r="G387" s="2" t="s">
        <v>2029</v>
      </c>
      <c r="H387" s="2" t="s">
        <v>77</v>
      </c>
      <c r="I387" s="2" t="s">
        <v>1618</v>
      </c>
      <c r="J387" s="2" t="s">
        <v>1618</v>
      </c>
      <c r="K387" s="2" t="s">
        <v>67</v>
      </c>
      <c r="L387" s="22">
        <v>4092235</v>
      </c>
      <c r="M387" s="22">
        <v>4092235</v>
      </c>
      <c r="N387" s="2" t="s">
        <v>40</v>
      </c>
      <c r="O387" s="7">
        <v>0</v>
      </c>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v>4092235</v>
      </c>
      <c r="AW387" s="7"/>
      <c r="AX387" s="7"/>
      <c r="AY387" s="7"/>
      <c r="AZ387" s="7"/>
      <c r="BA387" s="7"/>
      <c r="BB387" s="7"/>
      <c r="BC387" s="7"/>
      <c r="BD387" s="7"/>
      <c r="BE387" s="7"/>
      <c r="BF387" s="7"/>
      <c r="BG387" s="7"/>
      <c r="BH387" s="7"/>
      <c r="BI387" s="7"/>
      <c r="BJ387" s="7"/>
      <c r="BK387" s="7"/>
      <c r="BL387" s="7"/>
      <c r="BM387" s="7"/>
      <c r="BN387" s="7"/>
      <c r="BO387" s="7"/>
      <c r="BP387" s="2"/>
      <c r="BQ387" s="8">
        <v>45748</v>
      </c>
      <c r="BR387" s="8"/>
      <c r="BS387" s="8" t="s">
        <v>1741</v>
      </c>
      <c r="BT387" s="14">
        <f t="shared" si="18"/>
        <v>4092235</v>
      </c>
      <c r="BU387" s="2" t="str">
        <f t="shared" si="16"/>
        <v>OK</v>
      </c>
      <c r="BV387" s="13">
        <f t="shared" si="17"/>
        <v>0</v>
      </c>
    </row>
    <row r="388" spans="1:74" s="9" customFormat="1" ht="67.5" x14ac:dyDescent="0.25">
      <c r="A388" s="2" t="s">
        <v>1610</v>
      </c>
      <c r="B388" s="2" t="s">
        <v>1615</v>
      </c>
      <c r="C388" s="2" t="s">
        <v>1048</v>
      </c>
      <c r="D388" s="12" t="s">
        <v>1617</v>
      </c>
      <c r="E388" s="2" t="s">
        <v>1616</v>
      </c>
      <c r="F388" s="2" t="s">
        <v>72</v>
      </c>
      <c r="G388" s="2" t="s">
        <v>2029</v>
      </c>
      <c r="H388" s="7" t="s">
        <v>294</v>
      </c>
      <c r="I388" s="7" t="s">
        <v>686</v>
      </c>
      <c r="J388" s="7" t="s">
        <v>1618</v>
      </c>
      <c r="K388" s="2" t="s">
        <v>67</v>
      </c>
      <c r="L388" s="7">
        <v>15675</v>
      </c>
      <c r="M388" s="7">
        <v>9900</v>
      </c>
      <c r="N388" s="2" t="s">
        <v>14</v>
      </c>
      <c r="O388" s="7"/>
      <c r="P388" s="7"/>
      <c r="Q388" s="7"/>
      <c r="R388" s="7"/>
      <c r="S388" s="7"/>
      <c r="T388" s="7"/>
      <c r="U388" s="7"/>
      <c r="V388" s="7">
        <v>9900</v>
      </c>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c r="BC388" s="7"/>
      <c r="BD388" s="7"/>
      <c r="BE388" s="2"/>
      <c r="BF388" s="2"/>
      <c r="BG388" s="2"/>
      <c r="BH388" s="2"/>
      <c r="BI388" s="2"/>
      <c r="BJ388" s="2"/>
      <c r="BK388" s="2"/>
      <c r="BL388" s="2"/>
      <c r="BM388" s="2"/>
      <c r="BN388" s="2"/>
      <c r="BO388" s="2"/>
      <c r="BP388" s="2"/>
      <c r="BQ388" s="8">
        <v>45851</v>
      </c>
      <c r="BR388" s="2"/>
      <c r="BS388" s="8" t="s">
        <v>1700</v>
      </c>
      <c r="BT388" s="14">
        <f t="shared" si="18"/>
        <v>9900</v>
      </c>
      <c r="BU388" s="2" t="str">
        <f t="shared" si="16"/>
        <v>OK</v>
      </c>
      <c r="BV388" s="13">
        <f t="shared" si="17"/>
        <v>0</v>
      </c>
    </row>
    <row r="389" spans="1:74" s="9" customFormat="1" ht="67.5" x14ac:dyDescent="0.25">
      <c r="A389" s="2" t="s">
        <v>1393</v>
      </c>
      <c r="B389" s="2" t="s">
        <v>960</v>
      </c>
      <c r="C389" s="2" t="s">
        <v>681</v>
      </c>
      <c r="D389" s="12" t="s">
        <v>961</v>
      </c>
      <c r="E389" s="2" t="s">
        <v>1772</v>
      </c>
      <c r="F389" s="2" t="s">
        <v>334</v>
      </c>
      <c r="G389" s="2" t="s">
        <v>2029</v>
      </c>
      <c r="H389" s="2" t="s">
        <v>294</v>
      </c>
      <c r="I389" s="2" t="s">
        <v>1618</v>
      </c>
      <c r="J389" s="2" t="s">
        <v>1618</v>
      </c>
      <c r="K389" s="2" t="s">
        <v>67</v>
      </c>
      <c r="L389" s="22">
        <v>2468624.42</v>
      </c>
      <c r="M389" s="22">
        <v>2468624.42</v>
      </c>
      <c r="N389" s="2" t="s">
        <v>14</v>
      </c>
      <c r="O389" s="7">
        <v>0</v>
      </c>
      <c r="P389" s="7"/>
      <c r="Q389" s="7"/>
      <c r="R389" s="7"/>
      <c r="S389" s="7"/>
      <c r="T389" s="7"/>
      <c r="U389" s="7"/>
      <c r="V389" s="7">
        <v>2468624.42</v>
      </c>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c r="BD389" s="7"/>
      <c r="BE389" s="7"/>
      <c r="BF389" s="7"/>
      <c r="BG389" s="7"/>
      <c r="BH389" s="7"/>
      <c r="BI389" s="7"/>
      <c r="BJ389" s="7"/>
      <c r="BK389" s="7"/>
      <c r="BL389" s="7"/>
      <c r="BM389" s="7"/>
      <c r="BN389" s="7"/>
      <c r="BO389" s="7"/>
      <c r="BP389" s="8"/>
      <c r="BQ389" s="8">
        <v>45929</v>
      </c>
      <c r="BR389" s="2"/>
      <c r="BS389" s="2" t="s">
        <v>1853</v>
      </c>
      <c r="BT389" s="14">
        <f t="shared" si="18"/>
        <v>2468624.42</v>
      </c>
      <c r="BU389" s="2" t="str">
        <f t="shared" ref="BU389:BU402" si="19">IF(M389=BT389,"OK","CORRIGIR")</f>
        <v>OK</v>
      </c>
      <c r="BV389" s="13">
        <f t="shared" ref="BV389:BV402" si="20">M389-BT389</f>
        <v>0</v>
      </c>
    </row>
    <row r="390" spans="1:74" s="9" customFormat="1" ht="78.75" x14ac:dyDescent="0.25">
      <c r="A390" s="2" t="s">
        <v>1428</v>
      </c>
      <c r="B390" s="2" t="s">
        <v>837</v>
      </c>
      <c r="C390" s="2" t="s">
        <v>681</v>
      </c>
      <c r="D390" s="12" t="s">
        <v>838</v>
      </c>
      <c r="E390" s="12" t="s">
        <v>839</v>
      </c>
      <c r="F390" s="2" t="s">
        <v>72</v>
      </c>
      <c r="G390" s="2" t="s">
        <v>2029</v>
      </c>
      <c r="H390" s="2" t="s">
        <v>294</v>
      </c>
      <c r="I390" s="2" t="s">
        <v>1618</v>
      </c>
      <c r="J390" s="2" t="s">
        <v>1618</v>
      </c>
      <c r="K390" s="2" t="s">
        <v>67</v>
      </c>
      <c r="L390" s="22">
        <v>446279.42</v>
      </c>
      <c r="M390" s="22">
        <v>457151.99</v>
      </c>
      <c r="N390" s="2" t="s">
        <v>14</v>
      </c>
      <c r="O390" s="7">
        <v>0</v>
      </c>
      <c r="P390" s="7"/>
      <c r="Q390" s="7"/>
      <c r="R390" s="7"/>
      <c r="S390" s="7"/>
      <c r="T390" s="7"/>
      <c r="U390" s="7"/>
      <c r="V390" s="7">
        <v>457151.99</v>
      </c>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c r="BF390" s="7"/>
      <c r="BG390" s="7"/>
      <c r="BH390" s="7"/>
      <c r="BI390" s="7"/>
      <c r="BJ390" s="7"/>
      <c r="BK390" s="7"/>
      <c r="BL390" s="7"/>
      <c r="BM390" s="7"/>
      <c r="BN390" s="7"/>
      <c r="BO390" s="7"/>
      <c r="BP390" s="8"/>
      <c r="BQ390" s="8">
        <v>45949</v>
      </c>
      <c r="BR390" s="2"/>
      <c r="BS390" s="8" t="s">
        <v>1766</v>
      </c>
      <c r="BT390" s="14">
        <f t="shared" si="18"/>
        <v>457151.99</v>
      </c>
      <c r="BU390" s="2" t="str">
        <f t="shared" si="19"/>
        <v>OK</v>
      </c>
      <c r="BV390" s="13">
        <f t="shared" si="20"/>
        <v>0</v>
      </c>
    </row>
    <row r="391" spans="1:74" s="9" customFormat="1" ht="45" x14ac:dyDescent="0.25">
      <c r="A391" s="2" t="s">
        <v>1401</v>
      </c>
      <c r="B391" s="2" t="s">
        <v>1119</v>
      </c>
      <c r="C391" s="2" t="s">
        <v>715</v>
      </c>
      <c r="D391" s="12" t="s">
        <v>753</v>
      </c>
      <c r="E391" s="2"/>
      <c r="F391" s="2" t="s">
        <v>65</v>
      </c>
      <c r="G391" s="2" t="s">
        <v>2029</v>
      </c>
      <c r="H391" s="2" t="s">
        <v>77</v>
      </c>
      <c r="I391" s="2" t="s">
        <v>754</v>
      </c>
      <c r="J391" s="2" t="s">
        <v>1618</v>
      </c>
      <c r="K391" s="2" t="s">
        <v>67</v>
      </c>
      <c r="L391" s="22">
        <v>5485000</v>
      </c>
      <c r="M391" s="22">
        <v>1700000</v>
      </c>
      <c r="N391" s="2" t="s">
        <v>10</v>
      </c>
      <c r="O391" s="7">
        <v>1700000</v>
      </c>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c r="BB391" s="7"/>
      <c r="BC391" s="7"/>
      <c r="BD391" s="7"/>
      <c r="BE391" s="7"/>
      <c r="BF391" s="7"/>
      <c r="BG391" s="7"/>
      <c r="BH391" s="7"/>
      <c r="BI391" s="7"/>
      <c r="BJ391" s="7"/>
      <c r="BK391" s="7"/>
      <c r="BL391" s="7"/>
      <c r="BM391" s="7"/>
      <c r="BN391" s="7"/>
      <c r="BO391" s="7"/>
      <c r="BP391" s="8"/>
      <c r="BQ391" s="8">
        <v>46006</v>
      </c>
      <c r="BR391" s="2"/>
      <c r="BS391" s="2" t="s">
        <v>1854</v>
      </c>
      <c r="BT391" s="14">
        <f t="shared" si="18"/>
        <v>1700000</v>
      </c>
      <c r="BU391" s="2" t="str">
        <f t="shared" si="19"/>
        <v>OK</v>
      </c>
      <c r="BV391" s="13">
        <f t="shared" si="20"/>
        <v>0</v>
      </c>
    </row>
    <row r="392" spans="1:74" s="9" customFormat="1" ht="140.1" customHeight="1" x14ac:dyDescent="0.25">
      <c r="A392" s="2" t="s">
        <v>1294</v>
      </c>
      <c r="B392" s="2" t="s">
        <v>1119</v>
      </c>
      <c r="C392" s="2" t="s">
        <v>552</v>
      </c>
      <c r="D392" s="12" t="s">
        <v>1819</v>
      </c>
      <c r="E392" s="2"/>
      <c r="F392" s="2" t="s">
        <v>72</v>
      </c>
      <c r="G392" s="2" t="s">
        <v>2029</v>
      </c>
      <c r="H392" s="2" t="s">
        <v>77</v>
      </c>
      <c r="I392" s="2" t="s">
        <v>1618</v>
      </c>
      <c r="J392" s="2" t="s">
        <v>1618</v>
      </c>
      <c r="K392" s="2" t="s">
        <v>67</v>
      </c>
      <c r="L392" s="22">
        <v>73000</v>
      </c>
      <c r="M392" s="22">
        <v>53000</v>
      </c>
      <c r="N392" s="2" t="s">
        <v>1820</v>
      </c>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c r="BB392" s="7"/>
      <c r="BC392" s="7"/>
      <c r="BD392" s="7"/>
      <c r="BE392" s="7"/>
      <c r="BF392" s="7"/>
      <c r="BG392" s="7"/>
      <c r="BH392" s="7"/>
      <c r="BI392" s="7"/>
      <c r="BJ392" s="7"/>
      <c r="BK392" s="7"/>
      <c r="BL392" s="7"/>
      <c r="BM392" s="7"/>
      <c r="BN392" s="7"/>
      <c r="BO392" s="7"/>
      <c r="BP392" s="46"/>
      <c r="BQ392" s="8">
        <v>46006</v>
      </c>
      <c r="BR392" s="38"/>
      <c r="BS392" s="2" t="s">
        <v>1757</v>
      </c>
      <c r="BT392" s="14">
        <f t="shared" si="18"/>
        <v>0</v>
      </c>
      <c r="BU392" s="2" t="str">
        <f t="shared" si="19"/>
        <v>CORRIGIR</v>
      </c>
      <c r="BV392" s="13">
        <f t="shared" si="20"/>
        <v>53000</v>
      </c>
    </row>
    <row r="393" spans="1:74" s="9" customFormat="1" ht="67.5" x14ac:dyDescent="0.25">
      <c r="A393" s="2" t="s">
        <v>1416</v>
      </c>
      <c r="B393" s="2" t="s">
        <v>1005</v>
      </c>
      <c r="C393" s="2" t="s">
        <v>681</v>
      </c>
      <c r="D393" s="12" t="s">
        <v>1006</v>
      </c>
      <c r="E393" s="2" t="s">
        <v>1773</v>
      </c>
      <c r="F393" s="2" t="s">
        <v>334</v>
      </c>
      <c r="G393" s="2" t="s">
        <v>2029</v>
      </c>
      <c r="H393" s="2" t="s">
        <v>77</v>
      </c>
      <c r="I393" s="2" t="s">
        <v>1618</v>
      </c>
      <c r="J393" s="2" t="s">
        <v>1618</v>
      </c>
      <c r="K393" s="2" t="s">
        <v>67</v>
      </c>
      <c r="L393" s="22">
        <v>1000000</v>
      </c>
      <c r="M393" s="22">
        <v>1000000</v>
      </c>
      <c r="N393" s="2" t="s">
        <v>14</v>
      </c>
      <c r="O393" s="7">
        <v>0</v>
      </c>
      <c r="P393" s="7"/>
      <c r="Q393" s="7"/>
      <c r="R393" s="7"/>
      <c r="S393" s="7"/>
      <c r="T393" s="7"/>
      <c r="U393" s="7"/>
      <c r="V393" s="7">
        <v>1000000</v>
      </c>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c r="BC393" s="7"/>
      <c r="BD393" s="7"/>
      <c r="BE393" s="7"/>
      <c r="BF393" s="7"/>
      <c r="BG393" s="7"/>
      <c r="BH393" s="7"/>
      <c r="BI393" s="7"/>
      <c r="BJ393" s="7"/>
      <c r="BK393" s="7"/>
      <c r="BL393" s="7"/>
      <c r="BM393" s="7"/>
      <c r="BN393" s="7"/>
      <c r="BO393" s="7"/>
      <c r="BP393" s="2"/>
      <c r="BQ393" s="8">
        <v>46011</v>
      </c>
      <c r="BR393" s="8"/>
      <c r="BS393" s="8" t="s">
        <v>1856</v>
      </c>
      <c r="BT393" s="14">
        <f t="shared" si="18"/>
        <v>1000000</v>
      </c>
      <c r="BU393" s="2" t="str">
        <f t="shared" si="19"/>
        <v>OK</v>
      </c>
      <c r="BV393" s="13">
        <f t="shared" si="20"/>
        <v>0</v>
      </c>
    </row>
    <row r="394" spans="1:74" s="9" customFormat="1" ht="78.75" x14ac:dyDescent="0.25">
      <c r="A394" s="2" t="s">
        <v>1521</v>
      </c>
      <c r="B394" s="2" t="s">
        <v>933</v>
      </c>
      <c r="C394" s="2" t="s">
        <v>681</v>
      </c>
      <c r="D394" s="12" t="s">
        <v>1852</v>
      </c>
      <c r="E394" s="12" t="s">
        <v>1783</v>
      </c>
      <c r="F394" s="2" t="s">
        <v>72</v>
      </c>
      <c r="G394" s="2" t="s">
        <v>2029</v>
      </c>
      <c r="H394" s="2" t="s">
        <v>294</v>
      </c>
      <c r="I394" s="2" t="s">
        <v>686</v>
      </c>
      <c r="J394" s="2" t="s">
        <v>1618</v>
      </c>
      <c r="K394" s="2" t="s">
        <v>67</v>
      </c>
      <c r="L394" s="22">
        <v>16296</v>
      </c>
      <c r="M394" s="22">
        <v>8486.3700000000008</v>
      </c>
      <c r="N394" s="2" t="s">
        <v>14</v>
      </c>
      <c r="O394" s="7">
        <v>0</v>
      </c>
      <c r="P394" s="7"/>
      <c r="Q394" s="7"/>
      <c r="R394" s="7"/>
      <c r="S394" s="7"/>
      <c r="T394" s="7"/>
      <c r="U394" s="7"/>
      <c r="V394" s="7">
        <v>8486.3700000000008</v>
      </c>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c r="BD394" s="7"/>
      <c r="BE394" s="7"/>
      <c r="BF394" s="7"/>
      <c r="BG394" s="7"/>
      <c r="BH394" s="7"/>
      <c r="BI394" s="7"/>
      <c r="BJ394" s="7"/>
      <c r="BK394" s="7"/>
      <c r="BL394" s="7"/>
      <c r="BM394" s="7"/>
      <c r="BN394" s="7"/>
      <c r="BO394" s="7"/>
      <c r="BP394" s="8"/>
      <c r="BQ394" s="8">
        <v>46253</v>
      </c>
      <c r="BR394" s="2"/>
      <c r="BS394" s="8" t="s">
        <v>1782</v>
      </c>
      <c r="BT394" s="14">
        <f t="shared" si="18"/>
        <v>8486.3700000000008</v>
      </c>
      <c r="BU394" s="2" t="str">
        <f t="shared" si="19"/>
        <v>OK</v>
      </c>
      <c r="BV394" s="13">
        <f t="shared" si="20"/>
        <v>0</v>
      </c>
    </row>
    <row r="395" spans="1:74" s="9" customFormat="1" ht="33.75" x14ac:dyDescent="0.25">
      <c r="A395" s="2" t="s">
        <v>1529</v>
      </c>
      <c r="B395" s="2" t="s">
        <v>871</v>
      </c>
      <c r="C395" s="2" t="s">
        <v>681</v>
      </c>
      <c r="D395" s="12" t="s">
        <v>872</v>
      </c>
      <c r="E395" s="12" t="s">
        <v>1786</v>
      </c>
      <c r="F395" s="2" t="s">
        <v>72</v>
      </c>
      <c r="G395" s="2" t="s">
        <v>2029</v>
      </c>
      <c r="H395" s="2" t="s">
        <v>294</v>
      </c>
      <c r="I395" s="2" t="s">
        <v>686</v>
      </c>
      <c r="J395" s="2" t="s">
        <v>1618</v>
      </c>
      <c r="K395" s="2" t="s">
        <v>67</v>
      </c>
      <c r="L395" s="22">
        <v>4215.37</v>
      </c>
      <c r="M395" s="22">
        <v>4215.37</v>
      </c>
      <c r="N395" s="2" t="s">
        <v>14</v>
      </c>
      <c r="O395" s="7">
        <v>0</v>
      </c>
      <c r="P395" s="7"/>
      <c r="Q395" s="7"/>
      <c r="R395" s="7"/>
      <c r="S395" s="7"/>
      <c r="T395" s="7"/>
      <c r="U395" s="7"/>
      <c r="V395" s="7">
        <v>4215.37</v>
      </c>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c r="BE395" s="7"/>
      <c r="BF395" s="7"/>
      <c r="BG395" s="7"/>
      <c r="BH395" s="7"/>
      <c r="BI395" s="7"/>
      <c r="BJ395" s="7"/>
      <c r="BK395" s="7"/>
      <c r="BL395" s="7"/>
      <c r="BM395" s="7"/>
      <c r="BN395" s="7"/>
      <c r="BO395" s="7"/>
      <c r="BP395" s="8"/>
      <c r="BQ395" s="8">
        <v>46309</v>
      </c>
      <c r="BR395" s="2"/>
      <c r="BS395" s="8" t="s">
        <v>1784</v>
      </c>
      <c r="BT395" s="14">
        <f t="shared" si="18"/>
        <v>4215.37</v>
      </c>
      <c r="BU395" s="2" t="str">
        <f t="shared" si="19"/>
        <v>OK</v>
      </c>
      <c r="BV395" s="13">
        <f t="shared" si="20"/>
        <v>0</v>
      </c>
    </row>
    <row r="396" spans="1:74" s="9" customFormat="1" ht="67.5" x14ac:dyDescent="0.25">
      <c r="A396" s="2" t="s">
        <v>1604</v>
      </c>
      <c r="B396" s="2" t="s">
        <v>302</v>
      </c>
      <c r="C396" s="2" t="s">
        <v>274</v>
      </c>
      <c r="D396" s="12" t="s">
        <v>303</v>
      </c>
      <c r="E396" s="2" t="s">
        <v>304</v>
      </c>
      <c r="F396" s="2" t="s">
        <v>65</v>
      </c>
      <c r="G396" s="2" t="s">
        <v>2030</v>
      </c>
      <c r="H396" s="2" t="s">
        <v>77</v>
      </c>
      <c r="I396" s="2" t="s">
        <v>305</v>
      </c>
      <c r="J396" s="2">
        <v>4000</v>
      </c>
      <c r="K396" s="2" t="s">
        <v>67</v>
      </c>
      <c r="L396" s="22">
        <v>32720</v>
      </c>
      <c r="M396" s="22">
        <v>7640.6</v>
      </c>
      <c r="N396" s="2" t="s">
        <v>282</v>
      </c>
      <c r="O396" s="7">
        <v>0</v>
      </c>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v>7640.6</v>
      </c>
      <c r="AQ396" s="7"/>
      <c r="AR396" s="7"/>
      <c r="AS396" s="7"/>
      <c r="AT396" s="7"/>
      <c r="AU396" s="7"/>
      <c r="AV396" s="7"/>
      <c r="AW396" s="7"/>
      <c r="AX396" s="7"/>
      <c r="AY396" s="7"/>
      <c r="AZ396" s="7"/>
      <c r="BA396" s="7"/>
      <c r="BB396" s="7"/>
      <c r="BC396" s="7"/>
      <c r="BD396" s="7"/>
      <c r="BE396" s="7"/>
      <c r="BF396" s="7"/>
      <c r="BG396" s="7"/>
      <c r="BH396" s="7"/>
      <c r="BI396" s="7"/>
      <c r="BJ396" s="7"/>
      <c r="BK396" s="7"/>
      <c r="BL396" s="7"/>
      <c r="BM396" s="7"/>
      <c r="BN396" s="7"/>
      <c r="BO396" s="7"/>
      <c r="BP396" s="2"/>
      <c r="BQ396" s="8">
        <v>45565</v>
      </c>
      <c r="BR396" s="8"/>
      <c r="BS396" s="8" t="s">
        <v>1740</v>
      </c>
      <c r="BT396" s="14">
        <f t="shared" si="18"/>
        <v>7640.6</v>
      </c>
      <c r="BU396" s="2" t="str">
        <f t="shared" si="19"/>
        <v>OK</v>
      </c>
      <c r="BV396" s="13">
        <f t="shared" si="20"/>
        <v>0</v>
      </c>
    </row>
    <row r="397" spans="1:74" s="9" customFormat="1" ht="110.25" customHeight="1" x14ac:dyDescent="0.25">
      <c r="A397" s="2" t="s">
        <v>1363</v>
      </c>
      <c r="B397" s="2" t="s">
        <v>330</v>
      </c>
      <c r="C397" s="2" t="s">
        <v>331</v>
      </c>
      <c r="D397" s="12" t="s">
        <v>1918</v>
      </c>
      <c r="E397" s="2" t="s">
        <v>333</v>
      </c>
      <c r="F397" s="2" t="s">
        <v>334</v>
      </c>
      <c r="G397" s="2" t="s">
        <v>2031</v>
      </c>
      <c r="H397" s="2" t="s">
        <v>294</v>
      </c>
      <c r="I397" s="2" t="s">
        <v>335</v>
      </c>
      <c r="J397" s="23">
        <v>163992</v>
      </c>
      <c r="K397" s="2" t="s">
        <v>67</v>
      </c>
      <c r="L397" s="22">
        <v>7865080.5999999996</v>
      </c>
      <c r="M397" s="22">
        <v>7865080.5999999996</v>
      </c>
      <c r="N397" s="2" t="s">
        <v>32</v>
      </c>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v>7865080.5999999996</v>
      </c>
      <c r="AO397" s="7"/>
      <c r="AP397" s="7"/>
      <c r="AQ397" s="7"/>
      <c r="AR397" s="7"/>
      <c r="AS397" s="7"/>
      <c r="AT397" s="7"/>
      <c r="AU397" s="7"/>
      <c r="AV397" s="7"/>
      <c r="AW397" s="7"/>
      <c r="AX397" s="7"/>
      <c r="AY397" s="7"/>
      <c r="AZ397" s="7"/>
      <c r="BA397" s="7"/>
      <c r="BB397" s="7"/>
      <c r="BC397" s="7"/>
      <c r="BD397" s="7"/>
      <c r="BE397" s="7"/>
      <c r="BF397" s="7"/>
      <c r="BG397" s="7"/>
      <c r="BH397" s="7"/>
      <c r="BI397" s="7"/>
      <c r="BJ397" s="7"/>
      <c r="BK397" s="7"/>
      <c r="BL397" s="7"/>
      <c r="BM397" s="7"/>
      <c r="BN397" s="7"/>
      <c r="BO397" s="7"/>
      <c r="BP397" s="8"/>
      <c r="BQ397" s="8">
        <v>45658</v>
      </c>
      <c r="BR397" s="2"/>
      <c r="BS397" s="2" t="s">
        <v>1732</v>
      </c>
      <c r="BT397" s="14">
        <f t="shared" ref="BT397:BT402" si="21">SUM(O397:BO397)</f>
        <v>7865080.5999999996</v>
      </c>
      <c r="BU397" s="2" t="str">
        <f t="shared" si="19"/>
        <v>OK</v>
      </c>
      <c r="BV397" s="13">
        <f t="shared" si="20"/>
        <v>0</v>
      </c>
    </row>
    <row r="398" spans="1:74" s="9" customFormat="1" ht="45" x14ac:dyDescent="0.25">
      <c r="A398" s="2" t="s">
        <v>1581</v>
      </c>
      <c r="B398" s="2" t="s">
        <v>1090</v>
      </c>
      <c r="C398" s="2" t="s">
        <v>1051</v>
      </c>
      <c r="D398" s="12" t="s">
        <v>1091</v>
      </c>
      <c r="E398" s="2" t="s">
        <v>1092</v>
      </c>
      <c r="F398" s="2" t="s">
        <v>334</v>
      </c>
      <c r="G398" s="2" t="s">
        <v>2031</v>
      </c>
      <c r="H398" s="2" t="s">
        <v>77</v>
      </c>
      <c r="I398" s="2" t="s">
        <v>1618</v>
      </c>
      <c r="J398" s="2" t="s">
        <v>1618</v>
      </c>
      <c r="K398" s="2" t="s">
        <v>67</v>
      </c>
      <c r="L398" s="22">
        <v>153000</v>
      </c>
      <c r="M398" s="22">
        <v>153000</v>
      </c>
      <c r="N398" s="2" t="s">
        <v>33</v>
      </c>
      <c r="O398" s="7">
        <v>0</v>
      </c>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v>153000</v>
      </c>
      <c r="AP398" s="7"/>
      <c r="AQ398" s="7"/>
      <c r="AR398" s="7"/>
      <c r="AS398" s="7"/>
      <c r="AT398" s="7"/>
      <c r="AU398" s="7"/>
      <c r="AV398" s="7"/>
      <c r="AW398" s="7"/>
      <c r="AX398" s="7"/>
      <c r="AY398" s="7"/>
      <c r="AZ398" s="7"/>
      <c r="BA398" s="7"/>
      <c r="BB398" s="7"/>
      <c r="BC398" s="7"/>
      <c r="BD398" s="7"/>
      <c r="BE398" s="7"/>
      <c r="BF398" s="7"/>
      <c r="BG398" s="7"/>
      <c r="BH398" s="7"/>
      <c r="BI398" s="7"/>
      <c r="BJ398" s="7"/>
      <c r="BK398" s="7"/>
      <c r="BL398" s="7"/>
      <c r="BM398" s="7"/>
      <c r="BN398" s="7"/>
      <c r="BO398" s="7"/>
      <c r="BP398" s="2"/>
      <c r="BQ398" s="8">
        <v>45764</v>
      </c>
      <c r="BR398" s="8"/>
      <c r="BS398" s="8" t="s">
        <v>1762</v>
      </c>
      <c r="BT398" s="14">
        <f t="shared" si="21"/>
        <v>153000</v>
      </c>
      <c r="BU398" s="2" t="str">
        <f t="shared" si="19"/>
        <v>OK</v>
      </c>
      <c r="BV398" s="13">
        <f t="shared" si="20"/>
        <v>0</v>
      </c>
    </row>
    <row r="399" spans="1:74" s="9" customFormat="1" ht="56.25" x14ac:dyDescent="0.25">
      <c r="A399" s="2" t="s">
        <v>1448</v>
      </c>
      <c r="B399" s="2" t="s">
        <v>1003</v>
      </c>
      <c r="C399" s="2" t="s">
        <v>681</v>
      </c>
      <c r="D399" s="12" t="s">
        <v>1004</v>
      </c>
      <c r="E399" s="2" t="s">
        <v>1775</v>
      </c>
      <c r="F399" s="2" t="s">
        <v>334</v>
      </c>
      <c r="G399" s="2" t="s">
        <v>2031</v>
      </c>
      <c r="H399" s="2" t="s">
        <v>77</v>
      </c>
      <c r="I399" s="2" t="s">
        <v>1618</v>
      </c>
      <c r="J399" s="2" t="s">
        <v>1618</v>
      </c>
      <c r="K399" s="2" t="s">
        <v>67</v>
      </c>
      <c r="L399" s="22">
        <v>158024.29</v>
      </c>
      <c r="M399" s="22">
        <v>158024.29</v>
      </c>
      <c r="N399" s="2" t="s">
        <v>14</v>
      </c>
      <c r="O399" s="7">
        <v>0</v>
      </c>
      <c r="P399" s="7"/>
      <c r="Q399" s="7"/>
      <c r="R399" s="7"/>
      <c r="S399" s="7"/>
      <c r="T399" s="7"/>
      <c r="U399" s="7"/>
      <c r="V399" s="7">
        <v>158024.29</v>
      </c>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c r="BD399" s="7"/>
      <c r="BE399" s="7"/>
      <c r="BF399" s="7"/>
      <c r="BG399" s="7"/>
      <c r="BH399" s="7"/>
      <c r="BI399" s="7"/>
      <c r="BJ399" s="7"/>
      <c r="BK399" s="7"/>
      <c r="BL399" s="7"/>
      <c r="BM399" s="7"/>
      <c r="BN399" s="7"/>
      <c r="BO399" s="7"/>
      <c r="BP399" s="2"/>
      <c r="BQ399" s="8">
        <v>45773</v>
      </c>
      <c r="BR399" s="8"/>
      <c r="BS399" s="2" t="s">
        <v>1857</v>
      </c>
      <c r="BT399" s="14">
        <f t="shared" si="21"/>
        <v>158024.29</v>
      </c>
      <c r="BU399" s="2" t="str">
        <f t="shared" si="19"/>
        <v>OK</v>
      </c>
      <c r="BV399" s="13">
        <f t="shared" si="20"/>
        <v>0</v>
      </c>
    </row>
    <row r="400" spans="1:74" s="9" customFormat="1" ht="78.75" x14ac:dyDescent="0.25">
      <c r="A400" s="2" t="s">
        <v>1567</v>
      </c>
      <c r="B400" s="2" t="s">
        <v>1058</v>
      </c>
      <c r="C400" s="2" t="s">
        <v>1051</v>
      </c>
      <c r="D400" s="12" t="s">
        <v>1919</v>
      </c>
      <c r="E400" s="1" t="s">
        <v>1765</v>
      </c>
      <c r="F400" s="2" t="s">
        <v>72</v>
      </c>
      <c r="G400" s="2" t="s">
        <v>2031</v>
      </c>
      <c r="H400" s="2" t="s">
        <v>294</v>
      </c>
      <c r="I400" s="2" t="s">
        <v>1618</v>
      </c>
      <c r="J400" s="2" t="s">
        <v>1618</v>
      </c>
      <c r="K400" s="2" t="s">
        <v>67</v>
      </c>
      <c r="L400" s="22">
        <v>3275415.93</v>
      </c>
      <c r="M400" s="22">
        <v>3275415.93</v>
      </c>
      <c r="N400" s="2" t="s">
        <v>33</v>
      </c>
      <c r="O400" s="7">
        <v>0</v>
      </c>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v>3275415.93</v>
      </c>
      <c r="AP400" s="7"/>
      <c r="AQ400" s="7"/>
      <c r="AR400" s="7"/>
      <c r="AS400" s="7"/>
      <c r="AT400" s="7"/>
      <c r="AU400" s="7"/>
      <c r="AV400" s="7"/>
      <c r="AW400" s="7"/>
      <c r="AX400" s="7"/>
      <c r="AY400" s="7"/>
      <c r="AZ400" s="7"/>
      <c r="BA400" s="7"/>
      <c r="BB400" s="7"/>
      <c r="BC400" s="7"/>
      <c r="BD400" s="7"/>
      <c r="BE400" s="7"/>
      <c r="BF400" s="7"/>
      <c r="BG400" s="7"/>
      <c r="BH400" s="7"/>
      <c r="BI400" s="7"/>
      <c r="BJ400" s="7"/>
      <c r="BK400" s="7"/>
      <c r="BL400" s="7"/>
      <c r="BM400" s="7"/>
      <c r="BN400" s="7"/>
      <c r="BO400" s="7"/>
      <c r="BP400" s="8"/>
      <c r="BQ400" s="33">
        <v>45789</v>
      </c>
      <c r="BR400" s="2"/>
      <c r="BS400" s="2" t="s">
        <v>1759</v>
      </c>
      <c r="BT400" s="14">
        <f t="shared" si="21"/>
        <v>3275415.93</v>
      </c>
      <c r="BU400" s="2" t="str">
        <f t="shared" si="19"/>
        <v>OK</v>
      </c>
      <c r="BV400" s="13">
        <f t="shared" si="20"/>
        <v>0</v>
      </c>
    </row>
    <row r="401" spans="1:75" s="9" customFormat="1" ht="99.95" customHeight="1" x14ac:dyDescent="0.25">
      <c r="A401" s="2" t="s">
        <v>1565</v>
      </c>
      <c r="B401" s="2" t="s">
        <v>1053</v>
      </c>
      <c r="C401" s="2" t="s">
        <v>1051</v>
      </c>
      <c r="D401" s="12" t="s">
        <v>1054</v>
      </c>
      <c r="E401" s="2" t="s">
        <v>1055</v>
      </c>
      <c r="F401" s="2" t="s">
        <v>334</v>
      </c>
      <c r="G401" s="2" t="s">
        <v>2031</v>
      </c>
      <c r="H401" s="2" t="s">
        <v>294</v>
      </c>
      <c r="I401" s="2" t="s">
        <v>1618</v>
      </c>
      <c r="J401" s="2" t="s">
        <v>1618</v>
      </c>
      <c r="K401" s="2" t="s">
        <v>67</v>
      </c>
      <c r="L401" s="22">
        <v>8347940.6100000003</v>
      </c>
      <c r="M401" s="22">
        <v>8347940.6100000003</v>
      </c>
      <c r="N401" s="2" t="s">
        <v>33</v>
      </c>
      <c r="O401" s="7">
        <v>0</v>
      </c>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v>8347940.6100000003</v>
      </c>
      <c r="AP401" s="7"/>
      <c r="AQ401" s="7"/>
      <c r="AR401" s="7"/>
      <c r="AS401" s="7"/>
      <c r="AT401" s="7"/>
      <c r="AU401" s="7"/>
      <c r="AV401" s="7"/>
      <c r="AW401" s="7"/>
      <c r="AX401" s="7"/>
      <c r="AY401" s="7"/>
      <c r="AZ401" s="7"/>
      <c r="BA401" s="7"/>
      <c r="BB401" s="7"/>
      <c r="BC401" s="7"/>
      <c r="BD401" s="7"/>
      <c r="BE401" s="7"/>
      <c r="BF401" s="7"/>
      <c r="BG401" s="7"/>
      <c r="BH401" s="7"/>
      <c r="BI401" s="7"/>
      <c r="BJ401" s="7"/>
      <c r="BK401" s="7"/>
      <c r="BL401" s="7"/>
      <c r="BM401" s="7"/>
      <c r="BN401" s="7"/>
      <c r="BO401" s="7"/>
      <c r="BP401" s="8"/>
      <c r="BQ401" s="8">
        <v>45828</v>
      </c>
      <c r="BR401" s="2"/>
      <c r="BS401" s="2" t="s">
        <v>1758</v>
      </c>
      <c r="BT401" s="14">
        <f t="shared" si="21"/>
        <v>8347940.6100000003</v>
      </c>
      <c r="BU401" s="2" t="str">
        <f t="shared" si="19"/>
        <v>OK</v>
      </c>
      <c r="BV401" s="13">
        <f t="shared" si="20"/>
        <v>0</v>
      </c>
    </row>
    <row r="402" spans="1:75" s="9" customFormat="1" ht="99.95" customHeight="1" x14ac:dyDescent="0.25">
      <c r="A402" s="2" t="s">
        <v>1577</v>
      </c>
      <c r="B402" s="2" t="s">
        <v>1078</v>
      </c>
      <c r="C402" s="2" t="s">
        <v>1051</v>
      </c>
      <c r="D402" s="12" t="s">
        <v>1079</v>
      </c>
      <c r="E402" s="2" t="s">
        <v>1080</v>
      </c>
      <c r="F402" s="2" t="s">
        <v>65</v>
      </c>
      <c r="G402" s="2" t="s">
        <v>2031</v>
      </c>
      <c r="H402" s="2" t="s">
        <v>294</v>
      </c>
      <c r="I402" s="2" t="s">
        <v>686</v>
      </c>
      <c r="J402" s="2">
        <v>1</v>
      </c>
      <c r="K402" s="2" t="s">
        <v>67</v>
      </c>
      <c r="L402" s="22">
        <v>1100</v>
      </c>
      <c r="M402" s="22">
        <v>1200</v>
      </c>
      <c r="N402" s="2" t="s">
        <v>33</v>
      </c>
      <c r="O402" s="7">
        <v>0</v>
      </c>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v>1200</v>
      </c>
      <c r="AP402" s="7"/>
      <c r="AQ402" s="7"/>
      <c r="AR402" s="7"/>
      <c r="AS402" s="7"/>
      <c r="AT402" s="7"/>
      <c r="AU402" s="7"/>
      <c r="AV402" s="7"/>
      <c r="AW402" s="7"/>
      <c r="AX402" s="7"/>
      <c r="AY402" s="7"/>
      <c r="AZ402" s="7"/>
      <c r="BA402" s="7"/>
      <c r="BB402" s="7"/>
      <c r="BC402" s="7"/>
      <c r="BD402" s="7"/>
      <c r="BE402" s="7"/>
      <c r="BF402" s="7"/>
      <c r="BG402" s="7"/>
      <c r="BH402" s="7"/>
      <c r="BI402" s="7"/>
      <c r="BJ402" s="7"/>
      <c r="BK402" s="7"/>
      <c r="BL402" s="7"/>
      <c r="BM402" s="7"/>
      <c r="BN402" s="7"/>
      <c r="BO402" s="7"/>
      <c r="BP402" s="8"/>
      <c r="BQ402" s="8">
        <v>45849</v>
      </c>
      <c r="BR402" s="2"/>
      <c r="BS402" s="2" t="s">
        <v>1760</v>
      </c>
      <c r="BT402" s="14">
        <f t="shared" si="21"/>
        <v>1200</v>
      </c>
      <c r="BU402" s="2" t="str">
        <f t="shared" si="19"/>
        <v>OK</v>
      </c>
      <c r="BV402" s="13">
        <f t="shared" si="20"/>
        <v>0</v>
      </c>
    </row>
    <row r="403" spans="1:75" s="9" customFormat="1" ht="123.75" hidden="1" x14ac:dyDescent="0.25">
      <c r="A403" s="24" t="s">
        <v>1334</v>
      </c>
      <c r="B403" s="24" t="s">
        <v>588</v>
      </c>
      <c r="C403" s="24" t="s">
        <v>552</v>
      </c>
      <c r="D403" s="69" t="s">
        <v>589</v>
      </c>
      <c r="E403" s="2"/>
      <c r="F403" s="24" t="s">
        <v>72</v>
      </c>
      <c r="G403" s="24" t="s">
        <v>1788</v>
      </c>
      <c r="H403" s="24" t="s">
        <v>66</v>
      </c>
      <c r="I403" s="24" t="s">
        <v>686</v>
      </c>
      <c r="J403" s="24" t="s">
        <v>1618</v>
      </c>
      <c r="K403" s="24" t="s">
        <v>67</v>
      </c>
      <c r="L403" s="70">
        <v>92661780.599999994</v>
      </c>
      <c r="M403" s="70">
        <v>3088726.02</v>
      </c>
      <c r="N403" s="24" t="s">
        <v>558</v>
      </c>
      <c r="O403" s="7"/>
      <c r="P403" s="7"/>
      <c r="Q403" s="7"/>
      <c r="R403" s="7"/>
      <c r="S403" s="7"/>
      <c r="T403" s="7"/>
      <c r="U403" s="7"/>
      <c r="V403" s="7">
        <v>92661.78</v>
      </c>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c r="BD403" s="7">
        <v>1297264.93</v>
      </c>
      <c r="BE403" s="7">
        <v>1698799.31</v>
      </c>
      <c r="BF403" s="7"/>
      <c r="BG403" s="7"/>
      <c r="BH403" s="7"/>
      <c r="BI403" s="7"/>
      <c r="BJ403" s="7"/>
      <c r="BK403" s="7"/>
      <c r="BL403" s="7"/>
      <c r="BM403" s="7"/>
      <c r="BN403" s="7"/>
      <c r="BO403" s="7"/>
      <c r="BP403" s="8">
        <v>45964</v>
      </c>
      <c r="BQ403" s="24"/>
      <c r="BR403" s="2" t="s">
        <v>1801</v>
      </c>
      <c r="BS403" s="24"/>
      <c r="BT403" s="14"/>
      <c r="BU403" s="2"/>
      <c r="BV403" s="13"/>
    </row>
    <row r="404" spans="1:75" s="9" customFormat="1" ht="99.95" customHeight="1" x14ac:dyDescent="0.25">
      <c r="A404" s="2" t="s">
        <v>1592</v>
      </c>
      <c r="B404" s="2" t="s">
        <v>1113</v>
      </c>
      <c r="C404" s="2" t="s">
        <v>1114</v>
      </c>
      <c r="D404" s="12" t="s">
        <v>1735</v>
      </c>
      <c r="E404" s="2" t="s">
        <v>1736</v>
      </c>
      <c r="F404" s="2" t="s">
        <v>72</v>
      </c>
      <c r="G404" s="2" t="s">
        <v>2031</v>
      </c>
      <c r="H404" s="2" t="s">
        <v>294</v>
      </c>
      <c r="I404" s="15" t="s">
        <v>1014</v>
      </c>
      <c r="J404" s="15" t="s">
        <v>1618</v>
      </c>
      <c r="K404" s="2" t="s">
        <v>67</v>
      </c>
      <c r="L404" s="22">
        <v>8522162.1199999992</v>
      </c>
      <c r="M404" s="22">
        <v>8522162.1199999992</v>
      </c>
      <c r="N404" s="2" t="s">
        <v>1115</v>
      </c>
      <c r="O404" s="7">
        <v>0</v>
      </c>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v>8522162.1199999992</v>
      </c>
      <c r="AP404" s="7"/>
      <c r="AQ404" s="7"/>
      <c r="AR404" s="7"/>
      <c r="AS404" s="7"/>
      <c r="AT404" s="7"/>
      <c r="AU404" s="7"/>
      <c r="AV404" s="7"/>
      <c r="AW404" s="7"/>
      <c r="AX404" s="7"/>
      <c r="AY404" s="7"/>
      <c r="AZ404" s="7"/>
      <c r="BA404" s="7"/>
      <c r="BB404" s="7"/>
      <c r="BC404" s="7"/>
      <c r="BD404" s="7"/>
      <c r="BE404" s="7"/>
      <c r="BF404" s="7"/>
      <c r="BG404" s="7"/>
      <c r="BH404" s="7"/>
      <c r="BI404" s="7"/>
      <c r="BJ404" s="7"/>
      <c r="BK404" s="7"/>
      <c r="BL404" s="7"/>
      <c r="BM404" s="7"/>
      <c r="BN404" s="7"/>
      <c r="BO404" s="7"/>
      <c r="BP404" s="2"/>
      <c r="BQ404" s="8">
        <v>45856</v>
      </c>
      <c r="BR404" s="8"/>
      <c r="BS404" s="8" t="s">
        <v>1734</v>
      </c>
      <c r="BT404" s="14">
        <f t="shared" ref="BT404:BT447" si="22">SUM(O404:BO404)</f>
        <v>8522162.1199999992</v>
      </c>
      <c r="BU404" s="2" t="str">
        <f t="shared" ref="BU404:BU467" si="23">IF(M404=BT404,"OK","CORRIGIR")</f>
        <v>OK</v>
      </c>
      <c r="BV404" s="13">
        <f t="shared" ref="BV404:BV467" si="24">M404-BT404</f>
        <v>0</v>
      </c>
    </row>
    <row r="405" spans="1:75" s="9" customFormat="1" ht="56.25" hidden="1" x14ac:dyDescent="0.25">
      <c r="A405" s="2" t="s">
        <v>1569</v>
      </c>
      <c r="B405" s="2" t="s">
        <v>1062</v>
      </c>
      <c r="C405" s="2" t="s">
        <v>1051</v>
      </c>
      <c r="D405" s="12" t="s">
        <v>1834</v>
      </c>
      <c r="E405" s="2"/>
      <c r="F405" s="2" t="s">
        <v>72</v>
      </c>
      <c r="G405" s="2" t="s">
        <v>1684</v>
      </c>
      <c r="H405" s="2" t="s">
        <v>66</v>
      </c>
      <c r="I405" s="2" t="s">
        <v>5</v>
      </c>
      <c r="J405" s="2" t="s">
        <v>1618</v>
      </c>
      <c r="K405" s="2" t="s">
        <v>67</v>
      </c>
      <c r="L405" s="22">
        <v>40000</v>
      </c>
      <c r="M405" s="22">
        <v>40000</v>
      </c>
      <c r="N405" s="2" t="s">
        <v>33</v>
      </c>
      <c r="O405" s="7">
        <v>0</v>
      </c>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v>17459</v>
      </c>
      <c r="AP405" s="7"/>
      <c r="AQ405" s="7"/>
      <c r="AR405" s="7"/>
      <c r="AS405" s="7"/>
      <c r="AT405" s="7"/>
      <c r="AU405" s="7"/>
      <c r="AV405" s="7"/>
      <c r="AW405" s="7"/>
      <c r="AX405" s="7"/>
      <c r="AY405" s="7"/>
      <c r="AZ405" s="7"/>
      <c r="BA405" s="7"/>
      <c r="BB405" s="7"/>
      <c r="BC405" s="7"/>
      <c r="BD405" s="7"/>
      <c r="BE405" s="7"/>
      <c r="BF405" s="7"/>
      <c r="BG405" s="7"/>
      <c r="BH405" s="7"/>
      <c r="BI405" s="7"/>
      <c r="BJ405" s="7"/>
      <c r="BK405" s="7"/>
      <c r="BL405" s="7"/>
      <c r="BM405" s="7"/>
      <c r="BN405" s="7"/>
      <c r="BO405" s="7"/>
      <c r="BP405" s="8">
        <v>45762</v>
      </c>
      <c r="BQ405" s="2"/>
      <c r="BR405" s="2" t="s">
        <v>1798</v>
      </c>
      <c r="BS405" s="2"/>
      <c r="BT405" s="14">
        <f t="shared" si="22"/>
        <v>17459</v>
      </c>
      <c r="BU405" s="2" t="str">
        <f t="shared" si="23"/>
        <v>CORRIGIR</v>
      </c>
      <c r="BV405" s="13">
        <f t="shared" si="24"/>
        <v>22541</v>
      </c>
    </row>
    <row r="406" spans="1:75" s="9" customFormat="1" ht="56.25" hidden="1" x14ac:dyDescent="0.25">
      <c r="A406" s="24" t="s">
        <v>1580</v>
      </c>
      <c r="B406" s="24" t="s">
        <v>1088</v>
      </c>
      <c r="C406" s="24" t="s">
        <v>1051</v>
      </c>
      <c r="D406" s="69" t="s">
        <v>1089</v>
      </c>
      <c r="E406" s="2"/>
      <c r="F406" s="24" t="s">
        <v>72</v>
      </c>
      <c r="G406" s="24" t="s">
        <v>1684</v>
      </c>
      <c r="H406" s="24" t="s">
        <v>66</v>
      </c>
      <c r="I406" s="24" t="s">
        <v>686</v>
      </c>
      <c r="J406" s="24" t="s">
        <v>1618</v>
      </c>
      <c r="K406" s="24" t="s">
        <v>67</v>
      </c>
      <c r="L406" s="70">
        <v>408000</v>
      </c>
      <c r="M406" s="70">
        <v>255000</v>
      </c>
      <c r="N406" s="24" t="s">
        <v>33</v>
      </c>
      <c r="O406" s="7">
        <v>0</v>
      </c>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v>255000</v>
      </c>
      <c r="AP406" s="7"/>
      <c r="AQ406" s="7"/>
      <c r="AR406" s="7"/>
      <c r="AS406" s="7"/>
      <c r="AT406" s="7"/>
      <c r="AU406" s="7"/>
      <c r="AV406" s="7"/>
      <c r="AW406" s="7"/>
      <c r="AX406" s="7"/>
      <c r="AY406" s="7"/>
      <c r="AZ406" s="7"/>
      <c r="BA406" s="7"/>
      <c r="BB406" s="7"/>
      <c r="BC406" s="7"/>
      <c r="BD406" s="7"/>
      <c r="BE406" s="7"/>
      <c r="BF406" s="7"/>
      <c r="BG406" s="7"/>
      <c r="BH406" s="7"/>
      <c r="BI406" s="7"/>
      <c r="BJ406" s="7"/>
      <c r="BK406" s="7"/>
      <c r="BL406" s="7"/>
      <c r="BM406" s="7"/>
      <c r="BN406" s="7"/>
      <c r="BO406" s="7"/>
      <c r="BP406" s="8">
        <v>45793</v>
      </c>
      <c r="BQ406" s="24"/>
      <c r="BR406" s="2" t="s">
        <v>1801</v>
      </c>
      <c r="BS406" s="24"/>
      <c r="BT406" s="14">
        <f t="shared" si="22"/>
        <v>255000</v>
      </c>
      <c r="BU406" s="2" t="str">
        <f t="shared" si="23"/>
        <v>OK</v>
      </c>
      <c r="BV406" s="13">
        <f t="shared" si="24"/>
        <v>0</v>
      </c>
    </row>
    <row r="407" spans="1:75" s="9" customFormat="1" ht="45" x14ac:dyDescent="0.25">
      <c r="A407" s="2" t="s">
        <v>1579</v>
      </c>
      <c r="B407" s="2" t="s">
        <v>1085</v>
      </c>
      <c r="C407" s="2" t="s">
        <v>1051</v>
      </c>
      <c r="D407" s="12" t="s">
        <v>1086</v>
      </c>
      <c r="E407" s="2" t="s">
        <v>1087</v>
      </c>
      <c r="F407" s="2" t="s">
        <v>72</v>
      </c>
      <c r="G407" s="2" t="s">
        <v>2031</v>
      </c>
      <c r="H407" s="2" t="s">
        <v>294</v>
      </c>
      <c r="I407" s="2" t="s">
        <v>686</v>
      </c>
      <c r="J407" s="2">
        <v>2000</v>
      </c>
      <c r="K407" s="2" t="s">
        <v>67</v>
      </c>
      <c r="L407" s="22">
        <v>351712.83</v>
      </c>
      <c r="M407" s="22">
        <v>351712.83</v>
      </c>
      <c r="N407" s="2" t="s">
        <v>33</v>
      </c>
      <c r="O407" s="7">
        <v>0</v>
      </c>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v>351712.83</v>
      </c>
      <c r="AP407" s="7"/>
      <c r="AQ407" s="7"/>
      <c r="AR407" s="7"/>
      <c r="AS407" s="7"/>
      <c r="AT407" s="7"/>
      <c r="AU407" s="7"/>
      <c r="AV407" s="7"/>
      <c r="AW407" s="7"/>
      <c r="AX407" s="7"/>
      <c r="AY407" s="7"/>
      <c r="AZ407" s="7"/>
      <c r="BA407" s="7"/>
      <c r="BB407" s="7"/>
      <c r="BC407" s="7"/>
      <c r="BD407" s="7"/>
      <c r="BE407" s="7"/>
      <c r="BF407" s="7"/>
      <c r="BG407" s="7"/>
      <c r="BH407" s="7"/>
      <c r="BI407" s="7"/>
      <c r="BJ407" s="7"/>
      <c r="BK407" s="7"/>
      <c r="BL407" s="7"/>
      <c r="BM407" s="7"/>
      <c r="BN407" s="7"/>
      <c r="BO407" s="7"/>
      <c r="BP407" s="8"/>
      <c r="BQ407" s="8">
        <v>45885</v>
      </c>
      <c r="BR407" s="2"/>
      <c r="BS407" s="2" t="s">
        <v>1761</v>
      </c>
      <c r="BT407" s="14">
        <f t="shared" si="22"/>
        <v>351712.83</v>
      </c>
      <c r="BU407" s="2" t="str">
        <f t="shared" si="23"/>
        <v>OK</v>
      </c>
      <c r="BV407" s="13">
        <f t="shared" si="24"/>
        <v>0</v>
      </c>
    </row>
    <row r="408" spans="1:75" s="9" customFormat="1" ht="78.75" x14ac:dyDescent="0.25">
      <c r="A408" s="2" t="s">
        <v>1578</v>
      </c>
      <c r="B408" s="2" t="s">
        <v>1081</v>
      </c>
      <c r="C408" s="2" t="s">
        <v>1051</v>
      </c>
      <c r="D408" s="12" t="s">
        <v>1082</v>
      </c>
      <c r="E408" s="2" t="s">
        <v>1083</v>
      </c>
      <c r="F408" s="2" t="s">
        <v>334</v>
      </c>
      <c r="G408" s="2" t="s">
        <v>2031</v>
      </c>
      <c r="H408" s="2" t="s">
        <v>294</v>
      </c>
      <c r="I408" s="2" t="s">
        <v>1084</v>
      </c>
      <c r="J408" s="23">
        <v>60000</v>
      </c>
      <c r="K408" s="2" t="s">
        <v>67</v>
      </c>
      <c r="L408" s="22">
        <v>16488000</v>
      </c>
      <c r="M408" s="22">
        <v>5496000</v>
      </c>
      <c r="N408" s="2" t="s">
        <v>33</v>
      </c>
      <c r="O408" s="7">
        <v>0</v>
      </c>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v>5496000</v>
      </c>
      <c r="AP408" s="7"/>
      <c r="AQ408" s="7"/>
      <c r="AR408" s="7"/>
      <c r="AS408" s="7"/>
      <c r="AT408" s="7"/>
      <c r="AU408" s="7"/>
      <c r="AV408" s="7"/>
      <c r="AW408" s="7"/>
      <c r="AX408" s="7"/>
      <c r="AY408" s="7"/>
      <c r="AZ408" s="7"/>
      <c r="BA408" s="7"/>
      <c r="BB408" s="7"/>
      <c r="BC408" s="7"/>
      <c r="BD408" s="7"/>
      <c r="BE408" s="7"/>
      <c r="BF408" s="7"/>
      <c r="BG408" s="7"/>
      <c r="BH408" s="7"/>
      <c r="BI408" s="7"/>
      <c r="BJ408" s="7"/>
      <c r="BK408" s="7"/>
      <c r="BL408" s="7"/>
      <c r="BM408" s="7"/>
      <c r="BN408" s="7"/>
      <c r="BO408" s="7"/>
      <c r="BP408" s="8"/>
      <c r="BQ408" s="8">
        <v>45954</v>
      </c>
      <c r="BR408" s="2"/>
      <c r="BS408" s="2" t="s">
        <v>1760</v>
      </c>
      <c r="BT408" s="14">
        <f t="shared" si="22"/>
        <v>5496000</v>
      </c>
      <c r="BU408" s="2" t="str">
        <f t="shared" si="23"/>
        <v>OK</v>
      </c>
      <c r="BV408" s="13">
        <f t="shared" si="24"/>
        <v>0</v>
      </c>
    </row>
    <row r="409" spans="1:75" s="9" customFormat="1" ht="90" x14ac:dyDescent="0.25">
      <c r="A409" s="2" t="s">
        <v>1584</v>
      </c>
      <c r="B409" s="2" t="s">
        <v>1096</v>
      </c>
      <c r="C409" s="2" t="s">
        <v>1051</v>
      </c>
      <c r="D409" s="12" t="s">
        <v>1097</v>
      </c>
      <c r="E409" s="2" t="s">
        <v>1098</v>
      </c>
      <c r="F409" s="2" t="s">
        <v>65</v>
      </c>
      <c r="G409" s="2" t="s">
        <v>2031</v>
      </c>
      <c r="H409" s="2" t="s">
        <v>294</v>
      </c>
      <c r="I409" s="2" t="s">
        <v>1618</v>
      </c>
      <c r="J409" s="2" t="s">
        <v>1618</v>
      </c>
      <c r="K409" s="2" t="s">
        <v>67</v>
      </c>
      <c r="L409" s="22">
        <v>7204514.04</v>
      </c>
      <c r="M409" s="22">
        <v>10351454.15</v>
      </c>
      <c r="N409" s="2" t="s">
        <v>33</v>
      </c>
      <c r="O409" s="7">
        <v>0</v>
      </c>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v>10351454.15</v>
      </c>
      <c r="AP409" s="7"/>
      <c r="AQ409" s="7"/>
      <c r="AR409" s="7"/>
      <c r="AS409" s="7"/>
      <c r="AT409" s="7"/>
      <c r="AU409" s="7"/>
      <c r="AV409" s="7"/>
      <c r="AW409" s="7"/>
      <c r="AX409" s="7"/>
      <c r="AY409" s="7"/>
      <c r="AZ409" s="7"/>
      <c r="BA409" s="7"/>
      <c r="BB409" s="7"/>
      <c r="BC409" s="7"/>
      <c r="BD409" s="7"/>
      <c r="BE409" s="7"/>
      <c r="BF409" s="7"/>
      <c r="BG409" s="7"/>
      <c r="BH409" s="7"/>
      <c r="BI409" s="7"/>
      <c r="BJ409" s="7"/>
      <c r="BK409" s="7"/>
      <c r="BL409" s="7"/>
      <c r="BM409" s="7"/>
      <c r="BN409" s="7"/>
      <c r="BO409" s="7"/>
      <c r="BP409" s="8"/>
      <c r="BQ409" s="8">
        <v>46012</v>
      </c>
      <c r="BR409" s="2"/>
      <c r="BS409" s="2" t="s">
        <v>1764</v>
      </c>
      <c r="BT409" s="14">
        <f t="shared" si="22"/>
        <v>10351454.15</v>
      </c>
      <c r="BU409" s="2" t="str">
        <f t="shared" si="23"/>
        <v>OK</v>
      </c>
      <c r="BV409" s="13">
        <f t="shared" si="24"/>
        <v>0</v>
      </c>
    </row>
    <row r="410" spans="1:75" s="9" customFormat="1" ht="56.25" hidden="1" x14ac:dyDescent="0.25">
      <c r="A410" s="24" t="s">
        <v>1576</v>
      </c>
      <c r="B410" s="24" t="s">
        <v>1075</v>
      </c>
      <c r="C410" s="24" t="s">
        <v>1051</v>
      </c>
      <c r="D410" s="69" t="s">
        <v>1076</v>
      </c>
      <c r="E410" s="2"/>
      <c r="F410" s="24" t="s">
        <v>72</v>
      </c>
      <c r="G410" s="24" t="s">
        <v>1684</v>
      </c>
      <c r="H410" s="24" t="s">
        <v>66</v>
      </c>
      <c r="I410" s="24" t="s">
        <v>1077</v>
      </c>
      <c r="J410" s="77" t="s">
        <v>1688</v>
      </c>
      <c r="K410" s="24" t="s">
        <v>67</v>
      </c>
      <c r="L410" s="70">
        <f>6906182.4+2500000</f>
        <v>9406182.4000000004</v>
      </c>
      <c r="M410" s="70">
        <f>6906182.4</f>
        <v>6906182.4000000004</v>
      </c>
      <c r="N410" s="24" t="s">
        <v>33</v>
      </c>
      <c r="O410" s="7">
        <v>0</v>
      </c>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v>6906182.4000000004</v>
      </c>
      <c r="AP410" s="7"/>
      <c r="AQ410" s="7"/>
      <c r="AR410" s="7"/>
      <c r="AS410" s="7"/>
      <c r="AT410" s="7"/>
      <c r="AU410" s="7"/>
      <c r="AV410" s="7"/>
      <c r="AW410" s="7"/>
      <c r="AX410" s="7"/>
      <c r="AY410" s="7"/>
      <c r="AZ410" s="7"/>
      <c r="BA410" s="7"/>
      <c r="BB410" s="7"/>
      <c r="BC410" s="7"/>
      <c r="BD410" s="7"/>
      <c r="BE410" s="7"/>
      <c r="BF410" s="7"/>
      <c r="BG410" s="7"/>
      <c r="BH410" s="7"/>
      <c r="BI410" s="7"/>
      <c r="BJ410" s="7"/>
      <c r="BK410" s="7"/>
      <c r="BL410" s="7"/>
      <c r="BM410" s="7"/>
      <c r="BN410" s="7"/>
      <c r="BO410" s="7"/>
      <c r="BP410" s="8">
        <v>45810</v>
      </c>
      <c r="BQ410" s="24"/>
      <c r="BR410" s="2" t="s">
        <v>1801</v>
      </c>
      <c r="BS410" s="24"/>
      <c r="BT410" s="14">
        <f t="shared" si="22"/>
        <v>6906182.4000000004</v>
      </c>
      <c r="BU410" s="2" t="str">
        <f t="shared" si="23"/>
        <v>OK</v>
      </c>
      <c r="BV410" s="13">
        <f t="shared" si="24"/>
        <v>0</v>
      </c>
    </row>
    <row r="411" spans="1:75" s="9" customFormat="1" ht="101.25" x14ac:dyDescent="0.25">
      <c r="A411" s="2" t="s">
        <v>1443</v>
      </c>
      <c r="B411" s="2" t="s">
        <v>995</v>
      </c>
      <c r="C411" s="2" t="s">
        <v>681</v>
      </c>
      <c r="D411" s="12" t="s">
        <v>1866</v>
      </c>
      <c r="E411" s="2" t="s">
        <v>1769</v>
      </c>
      <c r="F411" s="2" t="s">
        <v>334</v>
      </c>
      <c r="G411" s="2" t="s">
        <v>2031</v>
      </c>
      <c r="H411" s="2" t="s">
        <v>77</v>
      </c>
      <c r="I411" s="2" t="s">
        <v>1618</v>
      </c>
      <c r="J411" s="2" t="s">
        <v>1618</v>
      </c>
      <c r="K411" s="2" t="s">
        <v>67</v>
      </c>
      <c r="L411" s="22">
        <v>205979.1</v>
      </c>
      <c r="M411" s="22">
        <v>205979.1</v>
      </c>
      <c r="N411" s="2" t="s">
        <v>14</v>
      </c>
      <c r="O411" s="7"/>
      <c r="P411" s="7"/>
      <c r="Q411" s="7"/>
      <c r="R411" s="7"/>
      <c r="S411" s="7"/>
      <c r="T411" s="7"/>
      <c r="U411" s="7">
        <v>0</v>
      </c>
      <c r="V411" s="7">
        <v>205979.1</v>
      </c>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c r="BD411" s="7"/>
      <c r="BE411" s="7"/>
      <c r="BF411" s="7"/>
      <c r="BG411" s="7"/>
      <c r="BH411" s="7"/>
      <c r="BI411" s="7"/>
      <c r="BJ411" s="7"/>
      <c r="BK411" s="7"/>
      <c r="BL411" s="7"/>
      <c r="BM411" s="7"/>
      <c r="BN411" s="7"/>
      <c r="BO411" s="7"/>
      <c r="BP411" s="2"/>
      <c r="BQ411" s="8">
        <v>46040</v>
      </c>
      <c r="BR411" s="8"/>
      <c r="BS411" s="2" t="s">
        <v>1853</v>
      </c>
      <c r="BT411" s="14">
        <f t="shared" si="22"/>
        <v>205979.1</v>
      </c>
      <c r="BU411" s="2" t="str">
        <f t="shared" si="23"/>
        <v>OK</v>
      </c>
      <c r="BV411" s="13">
        <f t="shared" si="24"/>
        <v>0</v>
      </c>
    </row>
    <row r="412" spans="1:75" s="9" customFormat="1" ht="56.25" hidden="1" x14ac:dyDescent="0.25">
      <c r="A412" s="24" t="s">
        <v>1582</v>
      </c>
      <c r="B412" s="24" t="s">
        <v>1119</v>
      </c>
      <c r="C412" s="24" t="s">
        <v>1051</v>
      </c>
      <c r="D412" s="69" t="s">
        <v>1817</v>
      </c>
      <c r="E412" s="2"/>
      <c r="F412" s="24" t="s">
        <v>72</v>
      </c>
      <c r="G412" s="24" t="s">
        <v>1684</v>
      </c>
      <c r="H412" s="24" t="s">
        <v>66</v>
      </c>
      <c r="I412" s="24" t="s">
        <v>686</v>
      </c>
      <c r="J412" s="24" t="s">
        <v>1618</v>
      </c>
      <c r="K412" s="24" t="s">
        <v>384</v>
      </c>
      <c r="L412" s="79">
        <v>6000000</v>
      </c>
      <c r="M412" s="70">
        <v>2500000</v>
      </c>
      <c r="N412" s="24" t="s">
        <v>33</v>
      </c>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c r="BF412" s="7"/>
      <c r="BG412" s="7"/>
      <c r="BH412" s="7"/>
      <c r="BI412" s="7"/>
      <c r="BJ412" s="7"/>
      <c r="BK412" s="7"/>
      <c r="BL412" s="7"/>
      <c r="BM412" s="7"/>
      <c r="BN412" s="7"/>
      <c r="BO412" s="7"/>
      <c r="BP412" s="8">
        <v>45884</v>
      </c>
      <c r="BQ412" s="72"/>
      <c r="BR412" s="2" t="s">
        <v>1799</v>
      </c>
      <c r="BS412" s="24"/>
      <c r="BT412" s="14">
        <f t="shared" si="22"/>
        <v>0</v>
      </c>
      <c r="BU412" s="2" t="str">
        <f t="shared" si="23"/>
        <v>CORRIGIR</v>
      </c>
      <c r="BV412" s="13">
        <f t="shared" si="24"/>
        <v>2500000</v>
      </c>
      <c r="BW412" s="9" t="s">
        <v>1816</v>
      </c>
    </row>
    <row r="413" spans="1:75" s="9" customFormat="1" ht="56.25" x14ac:dyDescent="0.25">
      <c r="A413" s="2" t="s">
        <v>1583</v>
      </c>
      <c r="B413" s="2" t="s">
        <v>1093</v>
      </c>
      <c r="C413" s="2" t="s">
        <v>1051</v>
      </c>
      <c r="D413" s="12" t="s">
        <v>1094</v>
      </c>
      <c r="E413" s="2" t="s">
        <v>1095</v>
      </c>
      <c r="F413" s="2" t="s">
        <v>334</v>
      </c>
      <c r="G413" s="2" t="s">
        <v>2031</v>
      </c>
      <c r="H413" s="2" t="s">
        <v>77</v>
      </c>
      <c r="I413" s="2" t="s">
        <v>1618</v>
      </c>
      <c r="J413" s="2" t="s">
        <v>1618</v>
      </c>
      <c r="K413" s="2" t="s">
        <v>67</v>
      </c>
      <c r="L413" s="22">
        <v>4185624</v>
      </c>
      <c r="M413" s="22">
        <v>4185624</v>
      </c>
      <c r="N413" s="2" t="s">
        <v>33</v>
      </c>
      <c r="O413" s="7">
        <v>0</v>
      </c>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v>4185624</v>
      </c>
      <c r="AP413" s="7"/>
      <c r="AQ413" s="7"/>
      <c r="AR413" s="7"/>
      <c r="AS413" s="7"/>
      <c r="AT413" s="7"/>
      <c r="AU413" s="7"/>
      <c r="AV413" s="7"/>
      <c r="AW413" s="7"/>
      <c r="AX413" s="7"/>
      <c r="AY413" s="7"/>
      <c r="AZ413" s="7"/>
      <c r="BA413" s="7"/>
      <c r="BB413" s="7"/>
      <c r="BC413" s="7"/>
      <c r="BD413" s="7"/>
      <c r="BE413" s="7"/>
      <c r="BF413" s="7"/>
      <c r="BG413" s="7"/>
      <c r="BH413" s="7"/>
      <c r="BI413" s="7"/>
      <c r="BJ413" s="7"/>
      <c r="BK413" s="7"/>
      <c r="BL413" s="7"/>
      <c r="BM413" s="7"/>
      <c r="BN413" s="7"/>
      <c r="BO413" s="7"/>
      <c r="BP413" s="2"/>
      <c r="BQ413" s="8">
        <v>46089</v>
      </c>
      <c r="BR413" s="8"/>
      <c r="BS413" s="8" t="s">
        <v>1763</v>
      </c>
      <c r="BT413" s="14">
        <f t="shared" si="22"/>
        <v>4185624</v>
      </c>
      <c r="BU413" s="2" t="str">
        <f t="shared" si="23"/>
        <v>OK</v>
      </c>
      <c r="BV413" s="13">
        <f t="shared" si="24"/>
        <v>0</v>
      </c>
    </row>
    <row r="414" spans="1:75" s="9" customFormat="1" ht="56.25" x14ac:dyDescent="0.25">
      <c r="A414" s="2" t="s">
        <v>1237</v>
      </c>
      <c r="B414" s="2" t="s">
        <v>347</v>
      </c>
      <c r="C414" s="2" t="s">
        <v>342</v>
      </c>
      <c r="D414" s="12" t="s">
        <v>346</v>
      </c>
      <c r="E414" s="2" t="s">
        <v>1702</v>
      </c>
      <c r="F414" s="2" t="s">
        <v>72</v>
      </c>
      <c r="G414" s="2" t="s">
        <v>2034</v>
      </c>
      <c r="H414" s="2" t="s">
        <v>294</v>
      </c>
      <c r="I414" s="2" t="s">
        <v>686</v>
      </c>
      <c r="J414" s="2" t="s">
        <v>1618</v>
      </c>
      <c r="K414" s="2" t="s">
        <v>67</v>
      </c>
      <c r="L414" s="22">
        <v>5488067.1600000001</v>
      </c>
      <c r="M414" s="22">
        <v>2744033.58</v>
      </c>
      <c r="N414" s="2" t="s">
        <v>344</v>
      </c>
      <c r="O414" s="7"/>
      <c r="P414" s="7"/>
      <c r="Q414" s="7"/>
      <c r="R414" s="7"/>
      <c r="S414" s="7"/>
      <c r="T414" s="7"/>
      <c r="U414" s="7"/>
      <c r="V414" s="7"/>
      <c r="W414" s="7"/>
      <c r="X414" s="7"/>
      <c r="Y414" s="7"/>
      <c r="Z414" s="7">
        <v>2494575.98</v>
      </c>
      <c r="AA414" s="7">
        <v>249457.6</v>
      </c>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c r="BF414" s="7"/>
      <c r="BG414" s="7"/>
      <c r="BH414" s="7"/>
      <c r="BI414" s="7"/>
      <c r="BJ414" s="7"/>
      <c r="BK414" s="7"/>
      <c r="BL414" s="7"/>
      <c r="BM414" s="7"/>
      <c r="BN414" s="7"/>
      <c r="BO414" s="7"/>
      <c r="BP414" s="8"/>
      <c r="BQ414" s="8">
        <v>45691</v>
      </c>
      <c r="BR414" s="2"/>
      <c r="BS414" s="2" t="s">
        <v>1701</v>
      </c>
      <c r="BT414" s="14">
        <f t="shared" si="22"/>
        <v>2744033.58</v>
      </c>
      <c r="BU414" s="2" t="str">
        <f t="shared" si="23"/>
        <v>OK</v>
      </c>
      <c r="BV414" s="13">
        <f t="shared" si="24"/>
        <v>0</v>
      </c>
    </row>
    <row r="415" spans="1:75" s="9" customFormat="1" ht="67.5" x14ac:dyDescent="0.25">
      <c r="A415" s="2" t="s">
        <v>1238</v>
      </c>
      <c r="B415" s="2" t="s">
        <v>375</v>
      </c>
      <c r="C415" s="2" t="s">
        <v>342</v>
      </c>
      <c r="D415" s="12" t="s">
        <v>355</v>
      </c>
      <c r="E415" s="2" t="s">
        <v>1704</v>
      </c>
      <c r="F415" s="2" t="s">
        <v>72</v>
      </c>
      <c r="G415" s="2" t="s">
        <v>2034</v>
      </c>
      <c r="H415" s="2" t="s">
        <v>294</v>
      </c>
      <c r="I415" s="2" t="s">
        <v>686</v>
      </c>
      <c r="J415" s="2" t="s">
        <v>1618</v>
      </c>
      <c r="K415" s="2" t="s">
        <v>67</v>
      </c>
      <c r="L415" s="22">
        <v>1604323.07</v>
      </c>
      <c r="M415" s="22">
        <v>1604323.07</v>
      </c>
      <c r="N415" s="2" t="s">
        <v>344</v>
      </c>
      <c r="O415" s="7"/>
      <c r="P415" s="7"/>
      <c r="Q415" s="7"/>
      <c r="R415" s="7"/>
      <c r="S415" s="7"/>
      <c r="T415" s="7"/>
      <c r="U415" s="7"/>
      <c r="V415" s="7"/>
      <c r="W415" s="7"/>
      <c r="X415" s="7"/>
      <c r="Y415" s="7"/>
      <c r="Z415" s="7">
        <v>1458475.54</v>
      </c>
      <c r="AA415" s="7">
        <v>145847.53</v>
      </c>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c r="BE415" s="7"/>
      <c r="BF415" s="7"/>
      <c r="BG415" s="7"/>
      <c r="BH415" s="7"/>
      <c r="BI415" s="7"/>
      <c r="BJ415" s="7"/>
      <c r="BK415" s="7"/>
      <c r="BL415" s="7"/>
      <c r="BM415" s="7"/>
      <c r="BN415" s="7"/>
      <c r="BO415" s="7"/>
      <c r="BP415" s="8"/>
      <c r="BQ415" s="8">
        <v>45691</v>
      </c>
      <c r="BR415" s="25"/>
      <c r="BS415" s="2" t="s">
        <v>1703</v>
      </c>
      <c r="BT415" s="14">
        <f t="shared" si="22"/>
        <v>1604323.07</v>
      </c>
      <c r="BU415" s="2" t="str">
        <f t="shared" si="23"/>
        <v>OK</v>
      </c>
      <c r="BV415" s="13">
        <f t="shared" si="24"/>
        <v>0</v>
      </c>
    </row>
    <row r="416" spans="1:75" s="9" customFormat="1" ht="56.25" x14ac:dyDescent="0.25">
      <c r="A416" s="2" t="s">
        <v>1239</v>
      </c>
      <c r="B416" s="2" t="s">
        <v>373</v>
      </c>
      <c r="C416" s="2" t="s">
        <v>342</v>
      </c>
      <c r="D416" s="12" t="s">
        <v>374</v>
      </c>
      <c r="E416" s="2" t="s">
        <v>1727</v>
      </c>
      <c r="F416" s="2" t="s">
        <v>72</v>
      </c>
      <c r="G416" s="2" t="s">
        <v>2034</v>
      </c>
      <c r="H416" s="2" t="s">
        <v>294</v>
      </c>
      <c r="I416" s="2" t="s">
        <v>686</v>
      </c>
      <c r="J416" s="2" t="s">
        <v>1618</v>
      </c>
      <c r="K416" s="2" t="s">
        <v>67</v>
      </c>
      <c r="L416" s="22">
        <v>1301889.47</v>
      </c>
      <c r="M416" s="22">
        <v>1301889.47</v>
      </c>
      <c r="N416" s="2" t="s">
        <v>344</v>
      </c>
      <c r="O416" s="7"/>
      <c r="P416" s="7"/>
      <c r="Q416" s="7"/>
      <c r="R416" s="7"/>
      <c r="S416" s="7"/>
      <c r="T416" s="7"/>
      <c r="U416" s="7"/>
      <c r="V416" s="7"/>
      <c r="W416" s="7"/>
      <c r="X416" s="7"/>
      <c r="Y416" s="7"/>
      <c r="Z416" s="7">
        <v>1183535.8799999999</v>
      </c>
      <c r="AA416" s="7">
        <v>118353.59</v>
      </c>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c r="BD416" s="7"/>
      <c r="BE416" s="7"/>
      <c r="BF416" s="7"/>
      <c r="BG416" s="7"/>
      <c r="BH416" s="7"/>
      <c r="BI416" s="7"/>
      <c r="BJ416" s="7"/>
      <c r="BK416" s="7"/>
      <c r="BL416" s="7"/>
      <c r="BM416" s="7"/>
      <c r="BN416" s="7"/>
      <c r="BO416" s="7"/>
      <c r="BP416" s="8"/>
      <c r="BQ416" s="8">
        <v>45691</v>
      </c>
      <c r="BR416" s="2"/>
      <c r="BS416" s="2" t="s">
        <v>1703</v>
      </c>
      <c r="BT416" s="14">
        <f t="shared" si="22"/>
        <v>1301889.47</v>
      </c>
      <c r="BU416" s="2" t="str">
        <f t="shared" si="23"/>
        <v>OK</v>
      </c>
      <c r="BV416" s="13">
        <f t="shared" si="24"/>
        <v>0</v>
      </c>
    </row>
    <row r="417" spans="1:74" s="9" customFormat="1" ht="67.5" x14ac:dyDescent="0.25">
      <c r="A417" s="2" t="s">
        <v>1240</v>
      </c>
      <c r="B417" s="2" t="s">
        <v>495</v>
      </c>
      <c r="C417" s="2" t="s">
        <v>342</v>
      </c>
      <c r="D417" s="12" t="s">
        <v>355</v>
      </c>
      <c r="E417" s="2" t="s">
        <v>1730</v>
      </c>
      <c r="F417" s="2" t="s">
        <v>72</v>
      </c>
      <c r="G417" s="2" t="s">
        <v>2034</v>
      </c>
      <c r="H417" s="2" t="s">
        <v>294</v>
      </c>
      <c r="I417" s="2" t="s">
        <v>686</v>
      </c>
      <c r="J417" s="2" t="s">
        <v>1618</v>
      </c>
      <c r="K417" s="2" t="s">
        <v>67</v>
      </c>
      <c r="L417" s="22">
        <v>1117057.8400000001</v>
      </c>
      <c r="M417" s="22">
        <v>1117057.8400000001</v>
      </c>
      <c r="N417" s="2" t="s">
        <v>344</v>
      </c>
      <c r="O417" s="7"/>
      <c r="P417" s="7"/>
      <c r="Q417" s="7"/>
      <c r="R417" s="7"/>
      <c r="S417" s="7"/>
      <c r="T417" s="7"/>
      <c r="U417" s="7"/>
      <c r="V417" s="7"/>
      <c r="W417" s="7"/>
      <c r="X417" s="7"/>
      <c r="Y417" s="7"/>
      <c r="Z417" s="7">
        <v>101550.71</v>
      </c>
      <c r="AA417" s="7">
        <v>1015507.13</v>
      </c>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c r="BB417" s="7"/>
      <c r="BC417" s="7"/>
      <c r="BD417" s="7"/>
      <c r="BE417" s="7"/>
      <c r="BF417" s="7"/>
      <c r="BG417" s="7"/>
      <c r="BH417" s="7"/>
      <c r="BI417" s="7"/>
      <c r="BJ417" s="7"/>
      <c r="BK417" s="7"/>
      <c r="BL417" s="7"/>
      <c r="BM417" s="7"/>
      <c r="BN417" s="7"/>
      <c r="BO417" s="7"/>
      <c r="BP417" s="8"/>
      <c r="BQ417" s="8">
        <v>45691</v>
      </c>
      <c r="BR417" s="2"/>
      <c r="BS417" s="2" t="s">
        <v>1703</v>
      </c>
      <c r="BT417" s="14">
        <f t="shared" si="22"/>
        <v>1117057.8400000001</v>
      </c>
      <c r="BU417" s="2" t="str">
        <f t="shared" si="23"/>
        <v>OK</v>
      </c>
      <c r="BV417" s="13">
        <f t="shared" si="24"/>
        <v>0</v>
      </c>
    </row>
    <row r="418" spans="1:74" s="9" customFormat="1" ht="56.25" hidden="1" x14ac:dyDescent="0.25">
      <c r="A418" s="2" t="s">
        <v>1566</v>
      </c>
      <c r="B418" s="2" t="s">
        <v>1056</v>
      </c>
      <c r="C418" s="2" t="s">
        <v>1051</v>
      </c>
      <c r="D418" s="12" t="s">
        <v>1057</v>
      </c>
      <c r="E418" s="2"/>
      <c r="F418" s="2" t="s">
        <v>72</v>
      </c>
      <c r="G418" s="2" t="s">
        <v>1684</v>
      </c>
      <c r="H418" s="2" t="s">
        <v>66</v>
      </c>
      <c r="I418" s="2" t="s">
        <v>1618</v>
      </c>
      <c r="J418" s="2" t="s">
        <v>1618</v>
      </c>
      <c r="K418" s="2" t="s">
        <v>67</v>
      </c>
      <c r="L418" s="22">
        <v>135265.46</v>
      </c>
      <c r="M418" s="22">
        <v>135265.46</v>
      </c>
      <c r="N418" s="2" t="s">
        <v>33</v>
      </c>
      <c r="O418" s="7">
        <v>0</v>
      </c>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v>135265.46</v>
      </c>
      <c r="AP418" s="7"/>
      <c r="AQ418" s="7"/>
      <c r="AR418" s="7"/>
      <c r="AS418" s="7"/>
      <c r="AT418" s="7"/>
      <c r="AU418" s="7"/>
      <c r="AV418" s="7"/>
      <c r="AW418" s="7"/>
      <c r="AX418" s="7"/>
      <c r="AY418" s="7"/>
      <c r="AZ418" s="7"/>
      <c r="BA418" s="7"/>
      <c r="BB418" s="7"/>
      <c r="BC418" s="7"/>
      <c r="BD418" s="7"/>
      <c r="BE418" s="7"/>
      <c r="BF418" s="7"/>
      <c r="BG418" s="7"/>
      <c r="BH418" s="7"/>
      <c r="BI418" s="7"/>
      <c r="BJ418" s="7"/>
      <c r="BK418" s="7"/>
      <c r="BL418" s="7"/>
      <c r="BM418" s="7"/>
      <c r="BN418" s="7"/>
      <c r="BO418" s="7"/>
      <c r="BP418" s="8">
        <v>45884</v>
      </c>
      <c r="BQ418" s="32"/>
      <c r="BR418" s="2" t="s">
        <v>1799</v>
      </c>
      <c r="BS418" s="2"/>
      <c r="BT418" s="14">
        <f t="shared" si="22"/>
        <v>135265.46</v>
      </c>
      <c r="BU418" s="2" t="str">
        <f t="shared" si="23"/>
        <v>OK</v>
      </c>
      <c r="BV418" s="13">
        <f t="shared" si="24"/>
        <v>0</v>
      </c>
    </row>
    <row r="419" spans="1:74" s="9" customFormat="1" ht="123.75" hidden="1" x14ac:dyDescent="0.25">
      <c r="A419" s="2" t="s">
        <v>1331</v>
      </c>
      <c r="B419" s="2" t="s">
        <v>551</v>
      </c>
      <c r="C419" s="2" t="s">
        <v>552</v>
      </c>
      <c r="D419" s="12" t="s">
        <v>553</v>
      </c>
      <c r="E419" s="2"/>
      <c r="F419" s="2" t="s">
        <v>72</v>
      </c>
      <c r="G419" s="2" t="s">
        <v>1670</v>
      </c>
      <c r="H419" s="2" t="s">
        <v>66</v>
      </c>
      <c r="I419" s="2" t="s">
        <v>686</v>
      </c>
      <c r="J419" s="2" t="s">
        <v>1618</v>
      </c>
      <c r="K419" s="2" t="s">
        <v>67</v>
      </c>
      <c r="L419" s="22">
        <v>262546277.30000001</v>
      </c>
      <c r="M419" s="22">
        <v>27509255.460000001</v>
      </c>
      <c r="N419" s="2" t="s">
        <v>554</v>
      </c>
      <c r="O419" s="7"/>
      <c r="P419" s="7"/>
      <c r="Q419" s="7"/>
      <c r="R419" s="7"/>
      <c r="S419" s="7"/>
      <c r="T419" s="7"/>
      <c r="U419" s="7"/>
      <c r="V419" s="7">
        <v>825277.66</v>
      </c>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c r="BB419" s="7"/>
      <c r="BC419" s="7"/>
      <c r="BD419" s="7">
        <v>11553887.289999999</v>
      </c>
      <c r="BE419" s="30">
        <v>15130090.500800001</v>
      </c>
      <c r="BF419" s="7"/>
      <c r="BG419" s="7"/>
      <c r="BH419" s="7"/>
      <c r="BI419" s="7"/>
      <c r="BJ419" s="7"/>
      <c r="BK419" s="7"/>
      <c r="BL419" s="7"/>
      <c r="BM419" s="7"/>
      <c r="BN419" s="7"/>
      <c r="BO419" s="7"/>
      <c r="BP419" s="8">
        <v>45931</v>
      </c>
      <c r="BQ419" s="2"/>
      <c r="BR419" s="2" t="s">
        <v>1801</v>
      </c>
      <c r="BS419" s="2" t="s">
        <v>1759</v>
      </c>
      <c r="BT419" s="14">
        <f t="shared" si="22"/>
        <v>27509255.450800002</v>
      </c>
      <c r="BU419" s="2" t="str">
        <f t="shared" si="23"/>
        <v>CORRIGIR</v>
      </c>
      <c r="BV419" s="13">
        <f t="shared" si="24"/>
        <v>9.1999992728233337E-3</v>
      </c>
    </row>
    <row r="420" spans="1:74" s="9" customFormat="1" ht="101.25" hidden="1" x14ac:dyDescent="0.25">
      <c r="A420" s="2" t="s">
        <v>1212</v>
      </c>
      <c r="B420" s="2" t="s">
        <v>317</v>
      </c>
      <c r="C420" s="2" t="s">
        <v>274</v>
      </c>
      <c r="D420" s="12" t="s">
        <v>318</v>
      </c>
      <c r="E420" s="2"/>
      <c r="F420" s="2" t="s">
        <v>72</v>
      </c>
      <c r="G420" s="2" t="s">
        <v>1661</v>
      </c>
      <c r="H420" s="2" t="s">
        <v>66</v>
      </c>
      <c r="I420" s="2" t="s">
        <v>319</v>
      </c>
      <c r="J420" s="23">
        <v>2561975</v>
      </c>
      <c r="K420" s="2" t="s">
        <v>67</v>
      </c>
      <c r="L420" s="22">
        <v>10375998.75</v>
      </c>
      <c r="M420" s="22">
        <v>4565439.45</v>
      </c>
      <c r="N420" s="2" t="s">
        <v>40</v>
      </c>
      <c r="O420" s="7">
        <v>0</v>
      </c>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v>4565439.45</v>
      </c>
      <c r="AW420" s="7"/>
      <c r="AX420" s="7"/>
      <c r="AY420" s="7"/>
      <c r="AZ420" s="7"/>
      <c r="BA420" s="7"/>
      <c r="BB420" s="7"/>
      <c r="BC420" s="7"/>
      <c r="BD420" s="7"/>
      <c r="BE420" s="7"/>
      <c r="BF420" s="7"/>
      <c r="BG420" s="7"/>
      <c r="BH420" s="7"/>
      <c r="BI420" s="7"/>
      <c r="BJ420" s="7"/>
      <c r="BK420" s="7"/>
      <c r="BL420" s="7"/>
      <c r="BM420" s="7"/>
      <c r="BN420" s="7"/>
      <c r="BO420" s="7"/>
      <c r="BP420" s="8">
        <v>45809</v>
      </c>
      <c r="BQ420" s="2"/>
      <c r="BR420" s="2" t="s">
        <v>1801</v>
      </c>
      <c r="BS420" s="2"/>
      <c r="BT420" s="14">
        <f t="shared" si="22"/>
        <v>4565439.45</v>
      </c>
      <c r="BU420" s="2" t="str">
        <f t="shared" si="23"/>
        <v>OK</v>
      </c>
      <c r="BV420" s="13">
        <f t="shared" si="24"/>
        <v>0</v>
      </c>
    </row>
    <row r="421" spans="1:74" s="9" customFormat="1" ht="135" hidden="1" x14ac:dyDescent="0.25">
      <c r="A421" s="24" t="s">
        <v>1417</v>
      </c>
      <c r="B421" s="24" t="s">
        <v>1106</v>
      </c>
      <c r="C421" s="24" t="s">
        <v>681</v>
      </c>
      <c r="D421" s="69" t="s">
        <v>1107</v>
      </c>
      <c r="E421" s="2"/>
      <c r="F421" s="24" t="s">
        <v>1691</v>
      </c>
      <c r="G421" s="24" t="s">
        <v>1676</v>
      </c>
      <c r="H421" s="24" t="s">
        <v>66</v>
      </c>
      <c r="I421" s="78" t="s">
        <v>1618</v>
      </c>
      <c r="J421" s="78" t="s">
        <v>1618</v>
      </c>
      <c r="K421" s="24" t="s">
        <v>67</v>
      </c>
      <c r="L421" s="70">
        <v>1581562.94</v>
      </c>
      <c r="M421" s="70">
        <v>790781.47</v>
      </c>
      <c r="N421" s="24" t="s">
        <v>1142</v>
      </c>
      <c r="O421" s="7"/>
      <c r="P421" s="7"/>
      <c r="Q421" s="7"/>
      <c r="R421" s="7"/>
      <c r="S421" s="7"/>
      <c r="T421" s="7"/>
      <c r="U421" s="7"/>
      <c r="V421" s="7"/>
      <c r="W421" s="7"/>
      <c r="X421" s="7"/>
      <c r="Y421" s="7"/>
      <c r="Z421" s="7"/>
      <c r="AA421" s="7"/>
      <c r="AB421" s="7">
        <v>158156.29</v>
      </c>
      <c r="AC421" s="7"/>
      <c r="AD421" s="7"/>
      <c r="AE421" s="7"/>
      <c r="AF421" s="7"/>
      <c r="AG421" s="7"/>
      <c r="AH421" s="7"/>
      <c r="AI421" s="7"/>
      <c r="AJ421" s="7"/>
      <c r="AK421" s="7"/>
      <c r="AL421" s="7"/>
      <c r="AM421" s="7"/>
      <c r="AN421" s="7">
        <f>94893.78+142340.66</f>
        <v>237234.44</v>
      </c>
      <c r="AO421" s="7"/>
      <c r="AP421" s="7"/>
      <c r="AQ421" s="7"/>
      <c r="AR421" s="7"/>
      <c r="AS421" s="7"/>
      <c r="AT421" s="7"/>
      <c r="AU421" s="7"/>
      <c r="AV421" s="7"/>
      <c r="AW421" s="7"/>
      <c r="AX421" s="7">
        <v>316312.59000000003</v>
      </c>
      <c r="AY421" s="7"/>
      <c r="AZ421" s="7">
        <f>26359.38+52718.77</f>
        <v>79078.149999999994</v>
      </c>
      <c r="BA421" s="7"/>
      <c r="BB421" s="7"/>
      <c r="BC421" s="7"/>
      <c r="BD421" s="7"/>
      <c r="BE421" s="7"/>
      <c r="BF421" s="7"/>
      <c r="BG421" s="7"/>
      <c r="BH421" s="7"/>
      <c r="BI421" s="7"/>
      <c r="BJ421" s="7"/>
      <c r="BK421" s="7"/>
      <c r="BL421" s="7"/>
      <c r="BM421" s="7"/>
      <c r="BN421" s="7"/>
      <c r="BO421" s="7"/>
      <c r="BP421" s="8">
        <v>45930</v>
      </c>
      <c r="BQ421" s="78"/>
      <c r="BR421" s="15" t="s">
        <v>1799</v>
      </c>
      <c r="BS421" s="24"/>
      <c r="BT421" s="14">
        <f t="shared" si="22"/>
        <v>790781.47000000009</v>
      </c>
      <c r="BU421" s="2" t="str">
        <f t="shared" si="23"/>
        <v>OK</v>
      </c>
      <c r="BV421" s="13">
        <f t="shared" si="24"/>
        <v>0</v>
      </c>
    </row>
    <row r="422" spans="1:74" s="9" customFormat="1" ht="56.25" x14ac:dyDescent="0.25">
      <c r="A422" s="2" t="s">
        <v>1241</v>
      </c>
      <c r="B422" s="2" t="s">
        <v>372</v>
      </c>
      <c r="C422" s="2" t="s">
        <v>342</v>
      </c>
      <c r="D422" s="12" t="s">
        <v>362</v>
      </c>
      <c r="E422" s="2" t="s">
        <v>1726</v>
      </c>
      <c r="F422" s="2" t="s">
        <v>72</v>
      </c>
      <c r="G422" s="2" t="s">
        <v>2034</v>
      </c>
      <c r="H422" s="2" t="s">
        <v>294</v>
      </c>
      <c r="I422" s="2" t="s">
        <v>686</v>
      </c>
      <c r="J422" s="2" t="s">
        <v>1618</v>
      </c>
      <c r="K422" s="2" t="s">
        <v>67</v>
      </c>
      <c r="L422" s="22">
        <v>1011451.53</v>
      </c>
      <c r="M422" s="22">
        <v>1011451.53</v>
      </c>
      <c r="N422" s="2" t="s">
        <v>344</v>
      </c>
      <c r="O422" s="7"/>
      <c r="P422" s="7"/>
      <c r="Q422" s="7"/>
      <c r="R422" s="7"/>
      <c r="S422" s="7"/>
      <c r="T422" s="7"/>
      <c r="U422" s="7"/>
      <c r="V422" s="7"/>
      <c r="W422" s="7"/>
      <c r="X422" s="7"/>
      <c r="Y422" s="7"/>
      <c r="Z422" s="7">
        <v>919501.39</v>
      </c>
      <c r="AA422" s="7">
        <v>91950.14</v>
      </c>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c r="BE422" s="7"/>
      <c r="BF422" s="7"/>
      <c r="BG422" s="7"/>
      <c r="BH422" s="7"/>
      <c r="BI422" s="7"/>
      <c r="BJ422" s="7"/>
      <c r="BK422" s="7"/>
      <c r="BL422" s="7"/>
      <c r="BM422" s="7"/>
      <c r="BN422" s="7"/>
      <c r="BO422" s="7"/>
      <c r="BP422" s="8"/>
      <c r="BQ422" s="8">
        <v>45691</v>
      </c>
      <c r="BR422" s="2"/>
      <c r="BS422" s="2" t="s">
        <v>1703</v>
      </c>
      <c r="BT422" s="14">
        <f t="shared" si="22"/>
        <v>1011451.53</v>
      </c>
      <c r="BU422" s="2" t="str">
        <f t="shared" si="23"/>
        <v>OK</v>
      </c>
      <c r="BV422" s="13">
        <f t="shared" si="24"/>
        <v>0</v>
      </c>
    </row>
    <row r="423" spans="1:74" s="9" customFormat="1" ht="56.25" x14ac:dyDescent="0.25">
      <c r="A423" s="2" t="s">
        <v>1242</v>
      </c>
      <c r="B423" s="2" t="s">
        <v>609</v>
      </c>
      <c r="C423" s="2" t="s">
        <v>342</v>
      </c>
      <c r="D423" s="12" t="s">
        <v>605</v>
      </c>
      <c r="E423" s="2" t="s">
        <v>1713</v>
      </c>
      <c r="F423" s="2" t="s">
        <v>65</v>
      </c>
      <c r="G423" s="2" t="s">
        <v>2034</v>
      </c>
      <c r="H423" s="2" t="s">
        <v>294</v>
      </c>
      <c r="I423" s="2" t="s">
        <v>319</v>
      </c>
      <c r="J423" s="23">
        <v>1157</v>
      </c>
      <c r="K423" s="2" t="s">
        <v>67</v>
      </c>
      <c r="L423" s="22">
        <v>1263444</v>
      </c>
      <c r="M423" s="22">
        <v>986458.2</v>
      </c>
      <c r="N423" s="2" t="s">
        <v>344</v>
      </c>
      <c r="O423" s="7"/>
      <c r="P423" s="7"/>
      <c r="Q423" s="7"/>
      <c r="R423" s="7"/>
      <c r="S423" s="7"/>
      <c r="T423" s="7"/>
      <c r="U423" s="7"/>
      <c r="V423" s="7"/>
      <c r="W423" s="7"/>
      <c r="X423" s="7"/>
      <c r="Y423" s="7"/>
      <c r="Z423" s="7">
        <v>89678.02</v>
      </c>
      <c r="AA423" s="7">
        <v>896780.18</v>
      </c>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c r="BD423" s="7"/>
      <c r="BE423" s="7"/>
      <c r="BF423" s="7"/>
      <c r="BG423" s="7"/>
      <c r="BH423" s="7"/>
      <c r="BI423" s="7"/>
      <c r="BJ423" s="7"/>
      <c r="BK423" s="7"/>
      <c r="BL423" s="7"/>
      <c r="BM423" s="7"/>
      <c r="BN423" s="7"/>
      <c r="BO423" s="7"/>
      <c r="BP423" s="8"/>
      <c r="BQ423" s="8">
        <v>45691</v>
      </c>
      <c r="BR423" s="2"/>
      <c r="BS423" s="2" t="s">
        <v>1710</v>
      </c>
      <c r="BT423" s="14">
        <f t="shared" si="22"/>
        <v>986458.20000000007</v>
      </c>
      <c r="BU423" s="2" t="str">
        <f t="shared" si="23"/>
        <v>OK</v>
      </c>
      <c r="BV423" s="13">
        <f t="shared" si="24"/>
        <v>0</v>
      </c>
    </row>
    <row r="424" spans="1:74" s="9" customFormat="1" ht="56.25" x14ac:dyDescent="0.25">
      <c r="A424" s="2" t="s">
        <v>1243</v>
      </c>
      <c r="B424" s="2" t="s">
        <v>370</v>
      </c>
      <c r="C424" s="2" t="s">
        <v>342</v>
      </c>
      <c r="D424" s="12" t="s">
        <v>362</v>
      </c>
      <c r="E424" s="2" t="s">
        <v>1724</v>
      </c>
      <c r="F424" s="2" t="s">
        <v>72</v>
      </c>
      <c r="G424" s="2" t="s">
        <v>2034</v>
      </c>
      <c r="H424" s="2" t="s">
        <v>294</v>
      </c>
      <c r="I424" s="2" t="s">
        <v>686</v>
      </c>
      <c r="J424" s="2" t="s">
        <v>1618</v>
      </c>
      <c r="K424" s="2" t="s">
        <v>67</v>
      </c>
      <c r="L424" s="22">
        <v>1666842.98</v>
      </c>
      <c r="M424" s="22">
        <v>955844.98</v>
      </c>
      <c r="N424" s="2" t="s">
        <v>344</v>
      </c>
      <c r="O424" s="7"/>
      <c r="P424" s="7"/>
      <c r="Q424" s="7"/>
      <c r="R424" s="7"/>
      <c r="S424" s="7"/>
      <c r="T424" s="7"/>
      <c r="U424" s="7"/>
      <c r="V424" s="7"/>
      <c r="W424" s="7"/>
      <c r="X424" s="7"/>
      <c r="Y424" s="7"/>
      <c r="Z424" s="7">
        <v>868949.98</v>
      </c>
      <c r="AA424" s="7">
        <v>86895</v>
      </c>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c r="BE424" s="7"/>
      <c r="BF424" s="7"/>
      <c r="BG424" s="7"/>
      <c r="BH424" s="7"/>
      <c r="BI424" s="7"/>
      <c r="BJ424" s="7"/>
      <c r="BK424" s="7"/>
      <c r="BL424" s="7"/>
      <c r="BM424" s="7"/>
      <c r="BN424" s="7"/>
      <c r="BO424" s="7"/>
      <c r="BP424" s="8"/>
      <c r="BQ424" s="8">
        <v>45691</v>
      </c>
      <c r="BR424" s="2"/>
      <c r="BS424" s="2" t="s">
        <v>1703</v>
      </c>
      <c r="BT424" s="14">
        <f t="shared" si="22"/>
        <v>955844.98</v>
      </c>
      <c r="BU424" s="2" t="str">
        <f t="shared" si="23"/>
        <v>OK</v>
      </c>
      <c r="BV424" s="13">
        <f t="shared" si="24"/>
        <v>0</v>
      </c>
    </row>
    <row r="425" spans="1:74" s="9" customFormat="1" ht="56.25" x14ac:dyDescent="0.25">
      <c r="A425" s="2" t="s">
        <v>1246</v>
      </c>
      <c r="B425" s="2" t="s">
        <v>376</v>
      </c>
      <c r="C425" s="2" t="s">
        <v>342</v>
      </c>
      <c r="D425" s="12" t="s">
        <v>374</v>
      </c>
      <c r="E425" s="2" t="s">
        <v>1728</v>
      </c>
      <c r="F425" s="2" t="s">
        <v>72</v>
      </c>
      <c r="G425" s="2" t="s">
        <v>2034</v>
      </c>
      <c r="H425" s="2" t="s">
        <v>294</v>
      </c>
      <c r="I425" s="2" t="s">
        <v>686</v>
      </c>
      <c r="J425" s="2" t="s">
        <v>1618</v>
      </c>
      <c r="K425" s="2" t="s">
        <v>67</v>
      </c>
      <c r="L425" s="22">
        <v>857532.49</v>
      </c>
      <c r="M425" s="22">
        <v>857532.49</v>
      </c>
      <c r="N425" s="2" t="s">
        <v>344</v>
      </c>
      <c r="O425" s="7"/>
      <c r="P425" s="7"/>
      <c r="Q425" s="7"/>
      <c r="R425" s="7"/>
      <c r="S425" s="7"/>
      <c r="T425" s="7"/>
      <c r="U425" s="7"/>
      <c r="V425" s="7"/>
      <c r="W425" s="7"/>
      <c r="X425" s="7"/>
      <c r="Y425" s="7"/>
      <c r="Z425" s="7">
        <v>779574.99</v>
      </c>
      <c r="AA425" s="7">
        <v>77957.5</v>
      </c>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c r="BB425" s="7"/>
      <c r="BC425" s="7"/>
      <c r="BD425" s="7"/>
      <c r="BE425" s="7"/>
      <c r="BF425" s="7"/>
      <c r="BG425" s="7"/>
      <c r="BH425" s="7"/>
      <c r="BI425" s="7"/>
      <c r="BJ425" s="7"/>
      <c r="BK425" s="7"/>
      <c r="BL425" s="7"/>
      <c r="BM425" s="7"/>
      <c r="BN425" s="7"/>
      <c r="BO425" s="7"/>
      <c r="BP425" s="8"/>
      <c r="BQ425" s="8">
        <v>45691</v>
      </c>
      <c r="BR425" s="2"/>
      <c r="BS425" s="2" t="s">
        <v>1703</v>
      </c>
      <c r="BT425" s="14">
        <f t="shared" si="22"/>
        <v>857532.49</v>
      </c>
      <c r="BU425" s="2" t="str">
        <f t="shared" si="23"/>
        <v>OK</v>
      </c>
      <c r="BV425" s="13">
        <f t="shared" si="24"/>
        <v>0</v>
      </c>
    </row>
    <row r="426" spans="1:74" s="9" customFormat="1" ht="67.5" x14ac:dyDescent="0.25">
      <c r="A426" s="2" t="s">
        <v>1247</v>
      </c>
      <c r="B426" s="2" t="s">
        <v>356</v>
      </c>
      <c r="C426" s="2" t="s">
        <v>342</v>
      </c>
      <c r="D426" s="12" t="s">
        <v>353</v>
      </c>
      <c r="E426" s="2" t="s">
        <v>1708</v>
      </c>
      <c r="F426" s="2" t="s">
        <v>72</v>
      </c>
      <c r="G426" s="2" t="s">
        <v>2034</v>
      </c>
      <c r="H426" s="2" t="s">
        <v>294</v>
      </c>
      <c r="I426" s="2" t="s">
        <v>686</v>
      </c>
      <c r="J426" s="2" t="s">
        <v>1618</v>
      </c>
      <c r="K426" s="2" t="s">
        <v>67</v>
      </c>
      <c r="L426" s="22">
        <v>794576.53</v>
      </c>
      <c r="M426" s="22">
        <v>794576.53</v>
      </c>
      <c r="N426" s="2" t="s">
        <v>344</v>
      </c>
      <c r="O426" s="7"/>
      <c r="P426" s="7"/>
      <c r="Q426" s="7"/>
      <c r="R426" s="7"/>
      <c r="S426" s="7"/>
      <c r="T426" s="7"/>
      <c r="U426" s="7"/>
      <c r="V426" s="7"/>
      <c r="W426" s="7"/>
      <c r="X426" s="7"/>
      <c r="Y426" s="7"/>
      <c r="Z426" s="7">
        <v>72234.23</v>
      </c>
      <c r="AA426" s="7">
        <v>722342.3</v>
      </c>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c r="BB426" s="7"/>
      <c r="BC426" s="7"/>
      <c r="BD426" s="7"/>
      <c r="BE426" s="7"/>
      <c r="BF426" s="7"/>
      <c r="BG426" s="7"/>
      <c r="BH426" s="7"/>
      <c r="BI426" s="7"/>
      <c r="BJ426" s="7"/>
      <c r="BK426" s="7"/>
      <c r="BL426" s="7"/>
      <c r="BM426" s="7"/>
      <c r="BN426" s="7"/>
      <c r="BO426" s="7"/>
      <c r="BP426" s="8"/>
      <c r="BQ426" s="8">
        <v>45691</v>
      </c>
      <c r="BR426" s="2"/>
      <c r="BS426" s="2" t="s">
        <v>1707</v>
      </c>
      <c r="BT426" s="14">
        <f t="shared" si="22"/>
        <v>794576.53</v>
      </c>
      <c r="BU426" s="2" t="str">
        <f t="shared" si="23"/>
        <v>OK</v>
      </c>
      <c r="BV426" s="13">
        <f t="shared" si="24"/>
        <v>0</v>
      </c>
    </row>
    <row r="427" spans="1:74" s="9" customFormat="1" ht="56.25" x14ac:dyDescent="0.25">
      <c r="A427" s="2" t="s">
        <v>1248</v>
      </c>
      <c r="B427" s="2" t="s">
        <v>606</v>
      </c>
      <c r="C427" s="2" t="s">
        <v>342</v>
      </c>
      <c r="D427" s="12" t="s">
        <v>607</v>
      </c>
      <c r="E427" s="2" t="s">
        <v>1712</v>
      </c>
      <c r="F427" s="2" t="s">
        <v>65</v>
      </c>
      <c r="G427" s="2" t="s">
        <v>2034</v>
      </c>
      <c r="H427" s="2" t="s">
        <v>294</v>
      </c>
      <c r="I427" s="2" t="s">
        <v>608</v>
      </c>
      <c r="J427" s="2">
        <v>810</v>
      </c>
      <c r="K427" s="2" t="s">
        <v>67</v>
      </c>
      <c r="L427" s="22">
        <v>626940</v>
      </c>
      <c r="M427" s="22">
        <v>626940</v>
      </c>
      <c r="N427" s="2" t="s">
        <v>344</v>
      </c>
      <c r="O427" s="7"/>
      <c r="P427" s="7"/>
      <c r="Q427" s="7"/>
      <c r="R427" s="7"/>
      <c r="S427" s="7"/>
      <c r="T427" s="7"/>
      <c r="U427" s="7"/>
      <c r="V427" s="7"/>
      <c r="W427" s="7"/>
      <c r="X427" s="7"/>
      <c r="Y427" s="7"/>
      <c r="Z427" s="7">
        <v>569945.44999999995</v>
      </c>
      <c r="AA427" s="7">
        <v>56994.55</v>
      </c>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c r="BA427" s="7"/>
      <c r="BB427" s="7"/>
      <c r="BC427" s="7"/>
      <c r="BD427" s="7"/>
      <c r="BE427" s="7"/>
      <c r="BF427" s="7"/>
      <c r="BG427" s="7"/>
      <c r="BH427" s="7"/>
      <c r="BI427" s="7"/>
      <c r="BJ427" s="7"/>
      <c r="BK427" s="7"/>
      <c r="BL427" s="7"/>
      <c r="BM427" s="7"/>
      <c r="BN427" s="7"/>
      <c r="BO427" s="7"/>
      <c r="BP427" s="8"/>
      <c r="BQ427" s="8">
        <v>45691</v>
      </c>
      <c r="BR427" s="2"/>
      <c r="BS427" s="2" t="s">
        <v>1710</v>
      </c>
      <c r="BT427" s="14">
        <f t="shared" si="22"/>
        <v>626940</v>
      </c>
      <c r="BU427" s="2" t="str">
        <f t="shared" si="23"/>
        <v>OK</v>
      </c>
      <c r="BV427" s="13">
        <f t="shared" si="24"/>
        <v>0</v>
      </c>
    </row>
    <row r="428" spans="1:74" s="9" customFormat="1" ht="67.5" x14ac:dyDescent="0.25">
      <c r="A428" s="2" t="s">
        <v>1249</v>
      </c>
      <c r="B428" s="2" t="s">
        <v>352</v>
      </c>
      <c r="C428" s="2" t="s">
        <v>342</v>
      </c>
      <c r="D428" s="12" t="s">
        <v>353</v>
      </c>
      <c r="E428" s="2" t="s">
        <v>1706</v>
      </c>
      <c r="F428" s="2" t="s">
        <v>72</v>
      </c>
      <c r="G428" s="2" t="s">
        <v>2034</v>
      </c>
      <c r="H428" s="2" t="s">
        <v>294</v>
      </c>
      <c r="I428" s="2" t="s">
        <v>686</v>
      </c>
      <c r="J428" s="2" t="s">
        <v>1618</v>
      </c>
      <c r="K428" s="2" t="s">
        <v>67</v>
      </c>
      <c r="L428" s="22">
        <v>621645.15</v>
      </c>
      <c r="M428" s="22">
        <v>621645.15</v>
      </c>
      <c r="N428" s="2" t="s">
        <v>344</v>
      </c>
      <c r="O428" s="7"/>
      <c r="P428" s="7"/>
      <c r="Q428" s="7"/>
      <c r="R428" s="7"/>
      <c r="S428" s="7"/>
      <c r="T428" s="7"/>
      <c r="U428" s="7"/>
      <c r="V428" s="7"/>
      <c r="W428" s="7"/>
      <c r="X428" s="7"/>
      <c r="Y428" s="7"/>
      <c r="Z428" s="7">
        <v>56513.2</v>
      </c>
      <c r="AA428" s="7">
        <v>565131.94999999995</v>
      </c>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c r="BB428" s="7"/>
      <c r="BC428" s="7"/>
      <c r="BD428" s="7"/>
      <c r="BE428" s="7"/>
      <c r="BF428" s="7"/>
      <c r="BG428" s="7"/>
      <c r="BH428" s="7"/>
      <c r="BI428" s="7"/>
      <c r="BJ428" s="7"/>
      <c r="BK428" s="7"/>
      <c r="BL428" s="7"/>
      <c r="BM428" s="7"/>
      <c r="BN428" s="7"/>
      <c r="BO428" s="7"/>
      <c r="BP428" s="8"/>
      <c r="BQ428" s="8">
        <v>45691</v>
      </c>
      <c r="BR428" s="2"/>
      <c r="BS428" s="2" t="s">
        <v>1707</v>
      </c>
      <c r="BT428" s="14">
        <f t="shared" si="22"/>
        <v>621645.14999999991</v>
      </c>
      <c r="BU428" s="2" t="str">
        <f t="shared" si="23"/>
        <v>OK</v>
      </c>
      <c r="BV428" s="13">
        <f t="shared" si="24"/>
        <v>0</v>
      </c>
    </row>
    <row r="429" spans="1:74" s="9" customFormat="1" ht="56.25" x14ac:dyDescent="0.25">
      <c r="A429" s="2" t="s">
        <v>1250</v>
      </c>
      <c r="B429" s="2" t="s">
        <v>361</v>
      </c>
      <c r="C429" s="2" t="s">
        <v>342</v>
      </c>
      <c r="D429" s="12" t="s">
        <v>362</v>
      </c>
      <c r="E429" s="2" t="s">
        <v>1720</v>
      </c>
      <c r="F429" s="2" t="s">
        <v>72</v>
      </c>
      <c r="G429" s="2" t="s">
        <v>2034</v>
      </c>
      <c r="H429" s="2" t="s">
        <v>294</v>
      </c>
      <c r="I429" s="2" t="s">
        <v>686</v>
      </c>
      <c r="J429" s="2" t="s">
        <v>1618</v>
      </c>
      <c r="K429" s="2" t="s">
        <v>67</v>
      </c>
      <c r="L429" s="22">
        <v>1143105.75</v>
      </c>
      <c r="M429" s="22">
        <v>618801.24</v>
      </c>
      <c r="N429" s="2" t="s">
        <v>344</v>
      </c>
      <c r="O429" s="7"/>
      <c r="P429" s="7"/>
      <c r="Q429" s="7"/>
      <c r="R429" s="7"/>
      <c r="S429" s="7"/>
      <c r="T429" s="7"/>
      <c r="U429" s="7"/>
      <c r="V429" s="7"/>
      <c r="W429" s="7"/>
      <c r="X429" s="7"/>
      <c r="Y429" s="7"/>
      <c r="Z429" s="7">
        <v>562546.57999999996</v>
      </c>
      <c r="AA429" s="7">
        <v>56254.66</v>
      </c>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c r="BB429" s="7"/>
      <c r="BC429" s="7"/>
      <c r="BD429" s="7"/>
      <c r="BE429" s="7"/>
      <c r="BF429" s="7"/>
      <c r="BG429" s="7"/>
      <c r="BH429" s="7"/>
      <c r="BI429" s="7"/>
      <c r="BJ429" s="7"/>
      <c r="BK429" s="7"/>
      <c r="BL429" s="7"/>
      <c r="BM429" s="7"/>
      <c r="BN429" s="7"/>
      <c r="BO429" s="7"/>
      <c r="BP429" s="8"/>
      <c r="BQ429" s="8">
        <v>45691</v>
      </c>
      <c r="BR429" s="2"/>
      <c r="BS429" s="8" t="s">
        <v>1703</v>
      </c>
      <c r="BT429" s="14">
        <f t="shared" si="22"/>
        <v>618801.24</v>
      </c>
      <c r="BU429" s="2" t="str">
        <f t="shared" si="23"/>
        <v>OK</v>
      </c>
      <c r="BV429" s="13">
        <f t="shared" si="24"/>
        <v>0</v>
      </c>
    </row>
    <row r="430" spans="1:74" s="9" customFormat="1" ht="67.5" x14ac:dyDescent="0.25">
      <c r="A430" s="2" t="s">
        <v>1251</v>
      </c>
      <c r="B430" s="2" t="s">
        <v>358</v>
      </c>
      <c r="C430" s="2" t="s">
        <v>342</v>
      </c>
      <c r="D430" s="12" t="s">
        <v>353</v>
      </c>
      <c r="E430" s="2" t="s">
        <v>1709</v>
      </c>
      <c r="F430" s="2" t="s">
        <v>72</v>
      </c>
      <c r="G430" s="2" t="s">
        <v>2034</v>
      </c>
      <c r="H430" s="2" t="s">
        <v>294</v>
      </c>
      <c r="I430" s="2" t="s">
        <v>686</v>
      </c>
      <c r="J430" s="2" t="s">
        <v>1618</v>
      </c>
      <c r="K430" s="2" t="s">
        <v>67</v>
      </c>
      <c r="L430" s="22">
        <v>537506.36</v>
      </c>
      <c r="M430" s="22">
        <v>537506.36</v>
      </c>
      <c r="N430" s="2" t="s">
        <v>344</v>
      </c>
      <c r="O430" s="7"/>
      <c r="P430" s="7"/>
      <c r="Q430" s="7"/>
      <c r="R430" s="7"/>
      <c r="S430" s="7"/>
      <c r="T430" s="7"/>
      <c r="U430" s="7"/>
      <c r="V430" s="7"/>
      <c r="W430" s="7"/>
      <c r="X430" s="7"/>
      <c r="Y430" s="7"/>
      <c r="Z430" s="7">
        <v>488642.15</v>
      </c>
      <c r="AA430" s="7">
        <v>48864.21</v>
      </c>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c r="BE430" s="7"/>
      <c r="BF430" s="7"/>
      <c r="BG430" s="7"/>
      <c r="BH430" s="7"/>
      <c r="BI430" s="7"/>
      <c r="BJ430" s="7"/>
      <c r="BK430" s="7"/>
      <c r="BL430" s="7"/>
      <c r="BM430" s="7"/>
      <c r="BN430" s="7"/>
      <c r="BO430" s="7"/>
      <c r="BP430" s="8"/>
      <c r="BQ430" s="8">
        <v>45691</v>
      </c>
      <c r="BR430" s="2"/>
      <c r="BS430" s="2" t="s">
        <v>1707</v>
      </c>
      <c r="BT430" s="14">
        <f t="shared" si="22"/>
        <v>537506.36</v>
      </c>
      <c r="BU430" s="2" t="str">
        <f t="shared" si="23"/>
        <v>OK</v>
      </c>
      <c r="BV430" s="13">
        <f t="shared" si="24"/>
        <v>0</v>
      </c>
    </row>
    <row r="431" spans="1:74" s="9" customFormat="1" ht="67.5" x14ac:dyDescent="0.25">
      <c r="A431" s="2" t="s">
        <v>1252</v>
      </c>
      <c r="B431" s="2" t="s">
        <v>354</v>
      </c>
      <c r="C431" s="2" t="s">
        <v>342</v>
      </c>
      <c r="D431" s="12" t="s">
        <v>355</v>
      </c>
      <c r="E431" s="2" t="s">
        <v>1717</v>
      </c>
      <c r="F431" s="2" t="s">
        <v>72</v>
      </c>
      <c r="G431" s="2" t="s">
        <v>2034</v>
      </c>
      <c r="H431" s="2" t="s">
        <v>294</v>
      </c>
      <c r="I431" s="2" t="s">
        <v>686</v>
      </c>
      <c r="J431" s="2" t="s">
        <v>1618</v>
      </c>
      <c r="K431" s="2" t="s">
        <v>67</v>
      </c>
      <c r="L431" s="22">
        <v>531256.22</v>
      </c>
      <c r="M431" s="22">
        <v>531256.22</v>
      </c>
      <c r="N431" s="2" t="s">
        <v>344</v>
      </c>
      <c r="O431" s="7"/>
      <c r="P431" s="7"/>
      <c r="Q431" s="7"/>
      <c r="R431" s="7"/>
      <c r="S431" s="7"/>
      <c r="T431" s="7"/>
      <c r="U431" s="7"/>
      <c r="V431" s="7"/>
      <c r="W431" s="7"/>
      <c r="X431" s="7"/>
      <c r="Y431" s="7"/>
      <c r="Z431" s="7">
        <v>482960.2</v>
      </c>
      <c r="AA431" s="7">
        <v>48296.02</v>
      </c>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c r="BB431" s="7"/>
      <c r="BC431" s="7"/>
      <c r="BD431" s="7"/>
      <c r="BE431" s="7"/>
      <c r="BF431" s="7"/>
      <c r="BG431" s="7"/>
      <c r="BH431" s="7"/>
      <c r="BI431" s="7"/>
      <c r="BJ431" s="7"/>
      <c r="BK431" s="7"/>
      <c r="BL431" s="7"/>
      <c r="BM431" s="7"/>
      <c r="BN431" s="7"/>
      <c r="BO431" s="7"/>
      <c r="BP431" s="8"/>
      <c r="BQ431" s="8">
        <v>45691</v>
      </c>
      <c r="BR431" s="2"/>
      <c r="BS431" s="8" t="s">
        <v>1703</v>
      </c>
      <c r="BT431" s="14">
        <f t="shared" si="22"/>
        <v>531256.22</v>
      </c>
      <c r="BU431" s="2" t="str">
        <f t="shared" si="23"/>
        <v>OK</v>
      </c>
      <c r="BV431" s="13">
        <f t="shared" si="24"/>
        <v>0</v>
      </c>
    </row>
    <row r="432" spans="1:74" s="9" customFormat="1" ht="56.25" x14ac:dyDescent="0.25">
      <c r="A432" s="2" t="s">
        <v>1253</v>
      </c>
      <c r="B432" s="2" t="s">
        <v>368</v>
      </c>
      <c r="C432" s="2" t="s">
        <v>342</v>
      </c>
      <c r="D432" s="12" t="s">
        <v>362</v>
      </c>
      <c r="E432" s="2" t="s">
        <v>1722</v>
      </c>
      <c r="F432" s="2" t="s">
        <v>72</v>
      </c>
      <c r="G432" s="2" t="s">
        <v>2034</v>
      </c>
      <c r="H432" s="2" t="s">
        <v>294</v>
      </c>
      <c r="I432" s="2" t="s">
        <v>686</v>
      </c>
      <c r="J432" s="2" t="s">
        <v>1618</v>
      </c>
      <c r="K432" s="2" t="s">
        <v>67</v>
      </c>
      <c r="L432" s="22">
        <v>912868.06</v>
      </c>
      <c r="M432" s="22">
        <v>470335.57</v>
      </c>
      <c r="N432" s="2" t="s">
        <v>344</v>
      </c>
      <c r="O432" s="7"/>
      <c r="P432" s="7"/>
      <c r="Q432" s="7"/>
      <c r="R432" s="7"/>
      <c r="S432" s="7"/>
      <c r="T432" s="7"/>
      <c r="U432" s="7"/>
      <c r="V432" s="7"/>
      <c r="W432" s="7"/>
      <c r="X432" s="7"/>
      <c r="Y432" s="7"/>
      <c r="Z432" s="7">
        <v>42757.78</v>
      </c>
      <c r="AA432" s="7">
        <v>427577.79</v>
      </c>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c r="BA432" s="7"/>
      <c r="BB432" s="7"/>
      <c r="BC432" s="7"/>
      <c r="BD432" s="7"/>
      <c r="BE432" s="7"/>
      <c r="BF432" s="7"/>
      <c r="BG432" s="7"/>
      <c r="BH432" s="7"/>
      <c r="BI432" s="7"/>
      <c r="BJ432" s="7"/>
      <c r="BK432" s="7"/>
      <c r="BL432" s="7"/>
      <c r="BM432" s="7"/>
      <c r="BN432" s="7"/>
      <c r="BO432" s="7"/>
      <c r="BP432" s="8"/>
      <c r="BQ432" s="8">
        <v>45691</v>
      </c>
      <c r="BR432" s="2"/>
      <c r="BS432" s="2" t="s">
        <v>1703</v>
      </c>
      <c r="BT432" s="14">
        <f t="shared" si="22"/>
        <v>470335.56999999995</v>
      </c>
      <c r="BU432" s="2" t="str">
        <f t="shared" si="23"/>
        <v>OK</v>
      </c>
      <c r="BV432" s="13">
        <f t="shared" si="24"/>
        <v>0</v>
      </c>
    </row>
    <row r="433" spans="1:74" s="9" customFormat="1" ht="85.5" customHeight="1" x14ac:dyDescent="0.25">
      <c r="A433" s="2" t="s">
        <v>1254</v>
      </c>
      <c r="B433" s="2" t="s">
        <v>341</v>
      </c>
      <c r="C433" s="2" t="s">
        <v>342</v>
      </c>
      <c r="D433" s="12" t="s">
        <v>355</v>
      </c>
      <c r="E433" s="2" t="s">
        <v>1715</v>
      </c>
      <c r="F433" s="2" t="s">
        <v>72</v>
      </c>
      <c r="G433" s="2" t="s">
        <v>2034</v>
      </c>
      <c r="H433" s="2" t="s">
        <v>294</v>
      </c>
      <c r="I433" s="2" t="s">
        <v>686</v>
      </c>
      <c r="J433" s="2" t="s">
        <v>1618</v>
      </c>
      <c r="K433" s="2" t="s">
        <v>67</v>
      </c>
      <c r="L433" s="22">
        <v>342683.28</v>
      </c>
      <c r="M433" s="22">
        <v>342683.28</v>
      </c>
      <c r="N433" s="2" t="s">
        <v>344</v>
      </c>
      <c r="O433" s="7"/>
      <c r="P433" s="7"/>
      <c r="Q433" s="7"/>
      <c r="R433" s="7"/>
      <c r="S433" s="7"/>
      <c r="T433" s="7"/>
      <c r="U433" s="7"/>
      <c r="V433" s="7"/>
      <c r="W433" s="7"/>
      <c r="X433" s="7"/>
      <c r="Y433" s="7"/>
      <c r="Z433" s="7">
        <v>31153.03</v>
      </c>
      <c r="AA433" s="7">
        <v>311530.25</v>
      </c>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c r="BB433" s="7"/>
      <c r="BC433" s="7"/>
      <c r="BD433" s="7"/>
      <c r="BE433" s="7"/>
      <c r="BF433" s="7"/>
      <c r="BG433" s="7"/>
      <c r="BH433" s="7"/>
      <c r="BI433" s="7"/>
      <c r="BJ433" s="7"/>
      <c r="BK433" s="7"/>
      <c r="BL433" s="7"/>
      <c r="BM433" s="7"/>
      <c r="BN433" s="7"/>
      <c r="BO433" s="7"/>
      <c r="BP433" s="8"/>
      <c r="BQ433" s="8">
        <v>45691</v>
      </c>
      <c r="BR433" s="2"/>
      <c r="BS433" s="8" t="s">
        <v>1703</v>
      </c>
      <c r="BT433" s="14">
        <f t="shared" si="22"/>
        <v>342683.28</v>
      </c>
      <c r="BU433" s="2" t="str">
        <f t="shared" si="23"/>
        <v>OK</v>
      </c>
      <c r="BV433" s="13">
        <f t="shared" si="24"/>
        <v>0</v>
      </c>
    </row>
    <row r="434" spans="1:74" s="9" customFormat="1" ht="86.25" customHeight="1" x14ac:dyDescent="0.25">
      <c r="A434" s="2" t="s">
        <v>1258</v>
      </c>
      <c r="B434" s="2" t="s">
        <v>371</v>
      </c>
      <c r="C434" s="2" t="s">
        <v>342</v>
      </c>
      <c r="D434" s="12" t="s">
        <v>343</v>
      </c>
      <c r="E434" s="2" t="s">
        <v>1725</v>
      </c>
      <c r="F434" s="2" t="s">
        <v>72</v>
      </c>
      <c r="G434" s="2" t="s">
        <v>2034</v>
      </c>
      <c r="H434" s="2" t="s">
        <v>294</v>
      </c>
      <c r="I434" s="2" t="s">
        <v>686</v>
      </c>
      <c r="J434" s="2" t="s">
        <v>1618</v>
      </c>
      <c r="K434" s="2" t="s">
        <v>67</v>
      </c>
      <c r="L434" s="22">
        <v>296255.35999999999</v>
      </c>
      <c r="M434" s="22">
        <v>296255.35999999999</v>
      </c>
      <c r="N434" s="2" t="s">
        <v>344</v>
      </c>
      <c r="O434" s="7"/>
      <c r="P434" s="7"/>
      <c r="Q434" s="7"/>
      <c r="R434" s="7"/>
      <c r="S434" s="7"/>
      <c r="T434" s="7"/>
      <c r="U434" s="7"/>
      <c r="V434" s="7"/>
      <c r="W434" s="7"/>
      <c r="X434" s="7"/>
      <c r="Y434" s="7"/>
      <c r="Z434" s="7">
        <v>0</v>
      </c>
      <c r="AA434" s="7">
        <v>296255.35999999999</v>
      </c>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c r="BB434" s="7"/>
      <c r="BC434" s="7"/>
      <c r="BD434" s="7"/>
      <c r="BE434" s="7"/>
      <c r="BF434" s="7"/>
      <c r="BG434" s="7"/>
      <c r="BH434" s="7"/>
      <c r="BI434" s="7"/>
      <c r="BJ434" s="7"/>
      <c r="BK434" s="7"/>
      <c r="BL434" s="7"/>
      <c r="BM434" s="7"/>
      <c r="BN434" s="7"/>
      <c r="BO434" s="7"/>
      <c r="BP434" s="8"/>
      <c r="BQ434" s="8">
        <v>45691</v>
      </c>
      <c r="BR434" s="2"/>
      <c r="BS434" s="15" t="s">
        <v>1703</v>
      </c>
      <c r="BT434" s="14">
        <f t="shared" si="22"/>
        <v>296255.35999999999</v>
      </c>
      <c r="BU434" s="2" t="str">
        <f t="shared" si="23"/>
        <v>OK</v>
      </c>
      <c r="BV434" s="13">
        <f t="shared" si="24"/>
        <v>0</v>
      </c>
    </row>
    <row r="435" spans="1:74" s="9" customFormat="1" ht="79.5" customHeight="1" x14ac:dyDescent="0.25">
      <c r="A435" s="2" t="s">
        <v>1302</v>
      </c>
      <c r="B435" s="2" t="s">
        <v>600</v>
      </c>
      <c r="C435" s="2" t="s">
        <v>342</v>
      </c>
      <c r="D435" s="12" t="s">
        <v>601</v>
      </c>
      <c r="E435" s="2" t="s">
        <v>1711</v>
      </c>
      <c r="F435" s="2" t="s">
        <v>65</v>
      </c>
      <c r="G435" s="2" t="s">
        <v>2034</v>
      </c>
      <c r="H435" s="2" t="s">
        <v>294</v>
      </c>
      <c r="I435" s="2" t="s">
        <v>319</v>
      </c>
      <c r="J435" s="2">
        <v>323</v>
      </c>
      <c r="K435" s="2" t="s">
        <v>67</v>
      </c>
      <c r="L435" s="22">
        <v>306527</v>
      </c>
      <c r="M435" s="22">
        <v>239326.85</v>
      </c>
      <c r="N435" s="2" t="s">
        <v>344</v>
      </c>
      <c r="O435" s="7"/>
      <c r="P435" s="7"/>
      <c r="Q435" s="7"/>
      <c r="R435" s="7"/>
      <c r="S435" s="7"/>
      <c r="T435" s="7"/>
      <c r="U435" s="7"/>
      <c r="V435" s="7"/>
      <c r="W435" s="7"/>
      <c r="X435" s="7"/>
      <c r="Y435" s="7"/>
      <c r="Z435" s="7">
        <v>119663.43</v>
      </c>
      <c r="AA435" s="7">
        <v>119663.43</v>
      </c>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c r="BB435" s="7"/>
      <c r="BC435" s="7"/>
      <c r="BD435" s="7"/>
      <c r="BE435" s="7"/>
      <c r="BF435" s="7"/>
      <c r="BG435" s="7"/>
      <c r="BH435" s="7"/>
      <c r="BI435" s="7"/>
      <c r="BJ435" s="7"/>
      <c r="BK435" s="7"/>
      <c r="BL435" s="7"/>
      <c r="BM435" s="7"/>
      <c r="BN435" s="7"/>
      <c r="BO435" s="7"/>
      <c r="BP435" s="8"/>
      <c r="BQ435" s="8">
        <v>45691</v>
      </c>
      <c r="BR435" s="2"/>
      <c r="BS435" s="8" t="s">
        <v>1710</v>
      </c>
      <c r="BT435" s="14">
        <f t="shared" si="22"/>
        <v>239326.86</v>
      </c>
      <c r="BU435" s="2" t="str">
        <f t="shared" si="23"/>
        <v>CORRIGIR</v>
      </c>
      <c r="BV435" s="13">
        <f t="shared" si="24"/>
        <v>-9.9999999802093953E-3</v>
      </c>
    </row>
    <row r="436" spans="1:74" s="9" customFormat="1" ht="76.5" customHeight="1" x14ac:dyDescent="0.25">
      <c r="A436" s="2" t="s">
        <v>1352</v>
      </c>
      <c r="B436" s="2" t="s">
        <v>369</v>
      </c>
      <c r="C436" s="2" t="s">
        <v>342</v>
      </c>
      <c r="D436" s="12" t="s">
        <v>355</v>
      </c>
      <c r="E436" s="2" t="s">
        <v>1723</v>
      </c>
      <c r="F436" s="2" t="s">
        <v>72</v>
      </c>
      <c r="G436" s="2" t="s">
        <v>2034</v>
      </c>
      <c r="H436" s="2" t="s">
        <v>294</v>
      </c>
      <c r="I436" s="2" t="s">
        <v>686</v>
      </c>
      <c r="J436" s="2" t="s">
        <v>1618</v>
      </c>
      <c r="K436" s="2" t="s">
        <v>67</v>
      </c>
      <c r="L436" s="22">
        <v>236978.95</v>
      </c>
      <c r="M436" s="22">
        <v>236978.95</v>
      </c>
      <c r="N436" s="2" t="s">
        <v>344</v>
      </c>
      <c r="O436" s="7"/>
      <c r="P436" s="7"/>
      <c r="Q436" s="7"/>
      <c r="R436" s="7"/>
      <c r="S436" s="7"/>
      <c r="T436" s="7"/>
      <c r="U436" s="7"/>
      <c r="V436" s="7"/>
      <c r="W436" s="7"/>
      <c r="X436" s="7"/>
      <c r="Y436" s="7"/>
      <c r="Z436" s="7">
        <v>94791.63</v>
      </c>
      <c r="AA436" s="7">
        <v>142187.32</v>
      </c>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c r="BA436" s="7"/>
      <c r="BB436" s="7"/>
      <c r="BC436" s="7"/>
      <c r="BD436" s="7"/>
      <c r="BE436" s="7"/>
      <c r="BF436" s="7"/>
      <c r="BG436" s="7"/>
      <c r="BH436" s="7"/>
      <c r="BI436" s="7"/>
      <c r="BJ436" s="7"/>
      <c r="BK436" s="7"/>
      <c r="BL436" s="7"/>
      <c r="BM436" s="7"/>
      <c r="BN436" s="7"/>
      <c r="BO436" s="7"/>
      <c r="BP436" s="8"/>
      <c r="BQ436" s="8">
        <v>45691</v>
      </c>
      <c r="BR436" s="2"/>
      <c r="BS436" s="8" t="s">
        <v>1703</v>
      </c>
      <c r="BT436" s="14">
        <f t="shared" si="22"/>
        <v>236978.95</v>
      </c>
      <c r="BU436" s="2" t="str">
        <f t="shared" si="23"/>
        <v>OK</v>
      </c>
      <c r="BV436" s="13">
        <f t="shared" si="24"/>
        <v>0</v>
      </c>
    </row>
    <row r="437" spans="1:74" s="9" customFormat="1" ht="67.5" x14ac:dyDescent="0.25">
      <c r="A437" s="2" t="s">
        <v>1354</v>
      </c>
      <c r="B437" s="2" t="s">
        <v>357</v>
      </c>
      <c r="C437" s="2" t="s">
        <v>342</v>
      </c>
      <c r="D437" s="12" t="s">
        <v>355</v>
      </c>
      <c r="E437" s="2" t="s">
        <v>1718</v>
      </c>
      <c r="F437" s="2" t="s">
        <v>72</v>
      </c>
      <c r="G437" s="2" t="s">
        <v>2034</v>
      </c>
      <c r="H437" s="2" t="s">
        <v>294</v>
      </c>
      <c r="I437" s="2" t="s">
        <v>686</v>
      </c>
      <c r="J437" s="2" t="s">
        <v>1618</v>
      </c>
      <c r="K437" s="2" t="s">
        <v>67</v>
      </c>
      <c r="L437" s="22">
        <v>200863.82</v>
      </c>
      <c r="M437" s="22">
        <v>200863.82</v>
      </c>
      <c r="N437" s="2" t="s">
        <v>344</v>
      </c>
      <c r="O437" s="7"/>
      <c r="P437" s="7"/>
      <c r="Q437" s="7"/>
      <c r="R437" s="7"/>
      <c r="S437" s="7"/>
      <c r="T437" s="7"/>
      <c r="U437" s="7"/>
      <c r="V437" s="7"/>
      <c r="W437" s="7"/>
      <c r="X437" s="7"/>
      <c r="Y437" s="7"/>
      <c r="Z437" s="7">
        <v>18260.349999999999</v>
      </c>
      <c r="AA437" s="7">
        <v>182603.47</v>
      </c>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c r="BA437" s="7"/>
      <c r="BB437" s="7"/>
      <c r="BC437" s="7"/>
      <c r="BD437" s="7"/>
      <c r="BE437" s="7"/>
      <c r="BF437" s="7"/>
      <c r="BG437" s="7"/>
      <c r="BH437" s="7"/>
      <c r="BI437" s="7"/>
      <c r="BJ437" s="7"/>
      <c r="BK437" s="7"/>
      <c r="BL437" s="7"/>
      <c r="BM437" s="7"/>
      <c r="BN437" s="7"/>
      <c r="BO437" s="7"/>
      <c r="BP437" s="8"/>
      <c r="BQ437" s="8">
        <v>45691</v>
      </c>
      <c r="BR437" s="2"/>
      <c r="BS437" s="8" t="s">
        <v>1703</v>
      </c>
      <c r="BT437" s="14">
        <f t="shared" si="22"/>
        <v>200863.82</v>
      </c>
      <c r="BU437" s="2" t="str">
        <f t="shared" si="23"/>
        <v>OK</v>
      </c>
      <c r="BV437" s="13">
        <f t="shared" si="24"/>
        <v>0</v>
      </c>
    </row>
    <row r="438" spans="1:74" s="9" customFormat="1" ht="78.75" customHeight="1" x14ac:dyDescent="0.25">
      <c r="A438" s="2" t="s">
        <v>1355</v>
      </c>
      <c r="B438" s="2" t="s">
        <v>348</v>
      </c>
      <c r="C438" s="2" t="s">
        <v>342</v>
      </c>
      <c r="D438" s="12" t="s">
        <v>355</v>
      </c>
      <c r="E438" s="2" t="s">
        <v>1716</v>
      </c>
      <c r="F438" s="2" t="s">
        <v>72</v>
      </c>
      <c r="G438" s="2" t="s">
        <v>2034</v>
      </c>
      <c r="H438" s="2" t="s">
        <v>294</v>
      </c>
      <c r="I438" s="2" t="s">
        <v>686</v>
      </c>
      <c r="J438" s="2" t="s">
        <v>1618</v>
      </c>
      <c r="K438" s="2" t="s">
        <v>67</v>
      </c>
      <c r="L438" s="22">
        <v>133113.54</v>
      </c>
      <c r="M438" s="22">
        <v>133113.54</v>
      </c>
      <c r="N438" s="2" t="s">
        <v>344</v>
      </c>
      <c r="O438" s="7"/>
      <c r="P438" s="7"/>
      <c r="Q438" s="7"/>
      <c r="R438" s="7"/>
      <c r="S438" s="7"/>
      <c r="T438" s="7"/>
      <c r="U438" s="7"/>
      <c r="V438" s="7"/>
      <c r="W438" s="7"/>
      <c r="X438" s="7"/>
      <c r="Y438" s="7"/>
      <c r="Z438" s="7">
        <v>121012.31</v>
      </c>
      <c r="AA438" s="7">
        <v>12101.23</v>
      </c>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c r="BF438" s="7"/>
      <c r="BG438" s="7"/>
      <c r="BH438" s="7"/>
      <c r="BI438" s="7"/>
      <c r="BJ438" s="7"/>
      <c r="BK438" s="7"/>
      <c r="BL438" s="7"/>
      <c r="BM438" s="7"/>
      <c r="BN438" s="7"/>
      <c r="BO438" s="7"/>
      <c r="BP438" s="8"/>
      <c r="BQ438" s="8">
        <v>45691</v>
      </c>
      <c r="BR438" s="2"/>
      <c r="BS438" s="8" t="s">
        <v>1703</v>
      </c>
      <c r="BT438" s="14">
        <f t="shared" si="22"/>
        <v>133113.54</v>
      </c>
      <c r="BU438" s="2" t="str">
        <f t="shared" si="23"/>
        <v>OK</v>
      </c>
      <c r="BV438" s="13">
        <f t="shared" si="24"/>
        <v>0</v>
      </c>
    </row>
    <row r="439" spans="1:74" s="9" customFormat="1" ht="80.25" customHeight="1" x14ac:dyDescent="0.25">
      <c r="A439" s="2" t="s">
        <v>1356</v>
      </c>
      <c r="B439" s="2" t="s">
        <v>363</v>
      </c>
      <c r="C439" s="2" t="s">
        <v>342</v>
      </c>
      <c r="D439" s="12" t="s">
        <v>355</v>
      </c>
      <c r="E439" s="2" t="s">
        <v>1721</v>
      </c>
      <c r="F439" s="2" t="s">
        <v>72</v>
      </c>
      <c r="G439" s="2" t="s">
        <v>2034</v>
      </c>
      <c r="H439" s="2" t="s">
        <v>294</v>
      </c>
      <c r="I439" s="2" t="s">
        <v>686</v>
      </c>
      <c r="J439" s="2" t="s">
        <v>1618</v>
      </c>
      <c r="K439" s="2" t="s">
        <v>67</v>
      </c>
      <c r="L439" s="22">
        <v>130947.99</v>
      </c>
      <c r="M439" s="22">
        <v>130947.99</v>
      </c>
      <c r="N439" s="2" t="s">
        <v>344</v>
      </c>
      <c r="O439" s="7"/>
      <c r="P439" s="7"/>
      <c r="Q439" s="7"/>
      <c r="R439" s="7"/>
      <c r="S439" s="7"/>
      <c r="T439" s="7"/>
      <c r="U439" s="7"/>
      <c r="V439" s="7"/>
      <c r="W439" s="7"/>
      <c r="X439" s="7"/>
      <c r="Y439" s="7"/>
      <c r="Z439" s="7">
        <v>32737.06</v>
      </c>
      <c r="AA439" s="7">
        <v>98210.93</v>
      </c>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7"/>
      <c r="BC439" s="7"/>
      <c r="BD439" s="7"/>
      <c r="BE439" s="7"/>
      <c r="BF439" s="7"/>
      <c r="BG439" s="7"/>
      <c r="BH439" s="7"/>
      <c r="BI439" s="7"/>
      <c r="BJ439" s="7"/>
      <c r="BK439" s="7"/>
      <c r="BL439" s="7"/>
      <c r="BM439" s="7"/>
      <c r="BN439" s="7"/>
      <c r="BO439" s="7"/>
      <c r="BP439" s="8"/>
      <c r="BQ439" s="8">
        <v>45691</v>
      </c>
      <c r="BR439" s="2"/>
      <c r="BS439" s="8" t="s">
        <v>1703</v>
      </c>
      <c r="BT439" s="14">
        <f t="shared" si="22"/>
        <v>130947.98999999999</v>
      </c>
      <c r="BU439" s="2" t="str">
        <f t="shared" si="23"/>
        <v>OK</v>
      </c>
      <c r="BV439" s="13">
        <f t="shared" si="24"/>
        <v>0</v>
      </c>
    </row>
    <row r="440" spans="1:74" s="9" customFormat="1" ht="84" customHeight="1" x14ac:dyDescent="0.25">
      <c r="A440" s="2" t="s">
        <v>1357</v>
      </c>
      <c r="B440" s="2" t="s">
        <v>377</v>
      </c>
      <c r="C440" s="2" t="s">
        <v>342</v>
      </c>
      <c r="D440" s="12" t="s">
        <v>355</v>
      </c>
      <c r="E440" s="2" t="s">
        <v>1729</v>
      </c>
      <c r="F440" s="2" t="s">
        <v>72</v>
      </c>
      <c r="G440" s="2" t="s">
        <v>2034</v>
      </c>
      <c r="H440" s="2" t="s">
        <v>294</v>
      </c>
      <c r="I440" s="2" t="s">
        <v>686</v>
      </c>
      <c r="J440" s="2" t="s">
        <v>1618</v>
      </c>
      <c r="K440" s="2" t="s">
        <v>67</v>
      </c>
      <c r="L440" s="22">
        <v>113917.6</v>
      </c>
      <c r="M440" s="22">
        <v>113917.6</v>
      </c>
      <c r="N440" s="2" t="s">
        <v>344</v>
      </c>
      <c r="O440" s="7"/>
      <c r="P440" s="7"/>
      <c r="Q440" s="7"/>
      <c r="R440" s="7"/>
      <c r="S440" s="7"/>
      <c r="T440" s="7"/>
      <c r="U440" s="7"/>
      <c r="V440" s="7"/>
      <c r="W440" s="7"/>
      <c r="X440" s="7"/>
      <c r="Y440" s="7"/>
      <c r="Z440" s="7">
        <v>10356.15</v>
      </c>
      <c r="AA440" s="7">
        <v>103561.45</v>
      </c>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c r="BB440" s="7"/>
      <c r="BC440" s="7"/>
      <c r="BD440" s="7"/>
      <c r="BE440" s="7"/>
      <c r="BF440" s="7"/>
      <c r="BG440" s="7"/>
      <c r="BH440" s="7"/>
      <c r="BI440" s="7"/>
      <c r="BJ440" s="7"/>
      <c r="BK440" s="7"/>
      <c r="BL440" s="7"/>
      <c r="BM440" s="7"/>
      <c r="BN440" s="7"/>
      <c r="BO440" s="7"/>
      <c r="BP440" s="8"/>
      <c r="BQ440" s="8">
        <v>45691</v>
      </c>
      <c r="BR440" s="2"/>
      <c r="BS440" s="8" t="s">
        <v>1703</v>
      </c>
      <c r="BT440" s="14">
        <f t="shared" si="22"/>
        <v>113917.59999999999</v>
      </c>
      <c r="BU440" s="2" t="str">
        <f t="shared" si="23"/>
        <v>OK</v>
      </c>
      <c r="BV440" s="13">
        <f t="shared" si="24"/>
        <v>0</v>
      </c>
    </row>
    <row r="441" spans="1:74" s="9" customFormat="1" ht="78.75" customHeight="1" x14ac:dyDescent="0.25">
      <c r="A441" s="2" t="s">
        <v>1358</v>
      </c>
      <c r="B441" s="2" t="s">
        <v>359</v>
      </c>
      <c r="C441" s="2" t="s">
        <v>342</v>
      </c>
      <c r="D441" s="12" t="s">
        <v>355</v>
      </c>
      <c r="E441" s="2" t="s">
        <v>1719</v>
      </c>
      <c r="F441" s="2" t="s">
        <v>72</v>
      </c>
      <c r="G441" s="2" t="s">
        <v>2034</v>
      </c>
      <c r="H441" s="2" t="s">
        <v>294</v>
      </c>
      <c r="I441" s="2" t="s">
        <v>686</v>
      </c>
      <c r="J441" s="2" t="s">
        <v>1618</v>
      </c>
      <c r="K441" s="2" t="s">
        <v>67</v>
      </c>
      <c r="L441" s="22">
        <v>104644.03</v>
      </c>
      <c r="M441" s="22">
        <v>104644.03</v>
      </c>
      <c r="N441" s="2" t="s">
        <v>344</v>
      </c>
      <c r="O441" s="7"/>
      <c r="P441" s="7"/>
      <c r="Q441" s="7"/>
      <c r="R441" s="7"/>
      <c r="S441" s="7"/>
      <c r="T441" s="7"/>
      <c r="U441" s="7"/>
      <c r="V441" s="7"/>
      <c r="W441" s="7"/>
      <c r="X441" s="7"/>
      <c r="Y441" s="7"/>
      <c r="Z441" s="7">
        <v>9513.09</v>
      </c>
      <c r="AA441" s="7">
        <v>95130.94</v>
      </c>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7"/>
      <c r="BC441" s="7"/>
      <c r="BD441" s="7"/>
      <c r="BE441" s="7"/>
      <c r="BF441" s="7"/>
      <c r="BG441" s="7"/>
      <c r="BH441" s="7"/>
      <c r="BI441" s="7"/>
      <c r="BJ441" s="7"/>
      <c r="BK441" s="7"/>
      <c r="BL441" s="7"/>
      <c r="BM441" s="7"/>
      <c r="BN441" s="7"/>
      <c r="BO441" s="7"/>
      <c r="BP441" s="8"/>
      <c r="BQ441" s="8">
        <v>45691</v>
      </c>
      <c r="BR441" s="2"/>
      <c r="BS441" s="2" t="s">
        <v>1703</v>
      </c>
      <c r="BT441" s="14">
        <f t="shared" si="22"/>
        <v>104644.03</v>
      </c>
      <c r="BU441" s="2" t="str">
        <f t="shared" si="23"/>
        <v>OK</v>
      </c>
      <c r="BV441" s="13">
        <f t="shared" si="24"/>
        <v>0</v>
      </c>
    </row>
    <row r="442" spans="1:74" s="9" customFormat="1" ht="72" customHeight="1" x14ac:dyDescent="0.25">
      <c r="A442" s="2" t="s">
        <v>1601</v>
      </c>
      <c r="B442" s="2" t="s">
        <v>345</v>
      </c>
      <c r="C442" s="2" t="s">
        <v>342</v>
      </c>
      <c r="D442" s="12" t="s">
        <v>346</v>
      </c>
      <c r="E442" s="2" t="s">
        <v>1705</v>
      </c>
      <c r="F442" s="2" t="s">
        <v>72</v>
      </c>
      <c r="G442" s="2" t="s">
        <v>2034</v>
      </c>
      <c r="H442" s="2" t="s">
        <v>294</v>
      </c>
      <c r="I442" s="2" t="s">
        <v>686</v>
      </c>
      <c r="J442" s="2" t="s">
        <v>1618</v>
      </c>
      <c r="K442" s="2" t="s">
        <v>67</v>
      </c>
      <c r="L442" s="22">
        <v>94474.17</v>
      </c>
      <c r="M442" s="22">
        <v>94474.17</v>
      </c>
      <c r="N442" s="2" t="s">
        <v>344</v>
      </c>
      <c r="O442" s="7"/>
      <c r="P442" s="7"/>
      <c r="Q442" s="7"/>
      <c r="R442" s="7"/>
      <c r="S442" s="7"/>
      <c r="T442" s="7"/>
      <c r="U442" s="7"/>
      <c r="V442" s="7"/>
      <c r="W442" s="7"/>
      <c r="X442" s="7"/>
      <c r="Y442" s="7"/>
      <c r="Z442" s="7">
        <v>85885.61</v>
      </c>
      <c r="AA442" s="7">
        <v>8588.56</v>
      </c>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7"/>
      <c r="BC442" s="7"/>
      <c r="BD442" s="7"/>
      <c r="BE442" s="7"/>
      <c r="BF442" s="7"/>
      <c r="BG442" s="7"/>
      <c r="BH442" s="7"/>
      <c r="BI442" s="7"/>
      <c r="BJ442" s="7"/>
      <c r="BK442" s="7"/>
      <c r="BL442" s="7"/>
      <c r="BM442" s="7"/>
      <c r="BN442" s="7"/>
      <c r="BO442" s="7"/>
      <c r="BP442" s="8"/>
      <c r="BQ442" s="8">
        <v>45691</v>
      </c>
      <c r="BR442" s="2"/>
      <c r="BS442" s="8" t="s">
        <v>1701</v>
      </c>
      <c r="BT442" s="14">
        <f t="shared" si="22"/>
        <v>94474.17</v>
      </c>
      <c r="BU442" s="2" t="str">
        <f t="shared" si="23"/>
        <v>OK</v>
      </c>
      <c r="BV442" s="13">
        <f t="shared" si="24"/>
        <v>0</v>
      </c>
    </row>
    <row r="443" spans="1:74" s="9" customFormat="1" ht="56.25" x14ac:dyDescent="0.25">
      <c r="A443" s="2" t="s">
        <v>1609</v>
      </c>
      <c r="B443" s="2" t="s">
        <v>604</v>
      </c>
      <c r="C443" s="2" t="s">
        <v>342</v>
      </c>
      <c r="D443" s="12" t="s">
        <v>605</v>
      </c>
      <c r="E443" s="2" t="s">
        <v>1714</v>
      </c>
      <c r="F443" s="2" t="s">
        <v>65</v>
      </c>
      <c r="G443" s="2" t="s">
        <v>2034</v>
      </c>
      <c r="H443" s="2" t="s">
        <v>294</v>
      </c>
      <c r="I443" s="2" t="s">
        <v>319</v>
      </c>
      <c r="J443" s="2">
        <v>54</v>
      </c>
      <c r="K443" s="2" t="s">
        <v>67</v>
      </c>
      <c r="L443" s="22">
        <v>79922.7</v>
      </c>
      <c r="M443" s="22">
        <v>54261.9</v>
      </c>
      <c r="N443" s="2" t="s">
        <v>344</v>
      </c>
      <c r="O443" s="7"/>
      <c r="P443" s="7"/>
      <c r="Q443" s="7"/>
      <c r="R443" s="7"/>
      <c r="S443" s="7"/>
      <c r="T443" s="7"/>
      <c r="U443" s="7"/>
      <c r="V443" s="7"/>
      <c r="W443" s="7"/>
      <c r="X443" s="7"/>
      <c r="Y443" s="7"/>
      <c r="Z443" s="7">
        <v>493.29</v>
      </c>
      <c r="AA443" s="7">
        <v>53768.61</v>
      </c>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7"/>
      <c r="BC443" s="7"/>
      <c r="BD443" s="7"/>
      <c r="BE443" s="7"/>
      <c r="BF443" s="7"/>
      <c r="BG443" s="7"/>
      <c r="BH443" s="7"/>
      <c r="BI443" s="7"/>
      <c r="BJ443" s="7"/>
      <c r="BK443" s="7"/>
      <c r="BL443" s="7"/>
      <c r="BM443" s="7"/>
      <c r="BN443" s="7"/>
      <c r="BO443" s="7"/>
      <c r="BP443" s="8"/>
      <c r="BQ443" s="8">
        <v>45691</v>
      </c>
      <c r="BR443" s="2"/>
      <c r="BS443" s="8" t="s">
        <v>1710</v>
      </c>
      <c r="BT443" s="14">
        <f t="shared" si="22"/>
        <v>54261.9</v>
      </c>
      <c r="BU443" s="2" t="str">
        <f t="shared" si="23"/>
        <v>OK</v>
      </c>
      <c r="BV443" s="13">
        <f t="shared" si="24"/>
        <v>0</v>
      </c>
    </row>
    <row r="444" spans="1:74" s="9" customFormat="1" ht="78.75" x14ac:dyDescent="0.25">
      <c r="A444" s="2" t="s">
        <v>1210</v>
      </c>
      <c r="B444" s="2" t="s">
        <v>291</v>
      </c>
      <c r="C444" s="2" t="s">
        <v>274</v>
      </c>
      <c r="D444" s="12" t="s">
        <v>292</v>
      </c>
      <c r="E444" s="2" t="s">
        <v>293</v>
      </c>
      <c r="F444" s="2" t="s">
        <v>65</v>
      </c>
      <c r="G444" s="2" t="s">
        <v>2036</v>
      </c>
      <c r="H444" s="2" t="s">
        <v>294</v>
      </c>
      <c r="I444" s="2" t="s">
        <v>5</v>
      </c>
      <c r="J444" s="23">
        <v>1000</v>
      </c>
      <c r="K444" s="2" t="s">
        <v>67</v>
      </c>
      <c r="L444" s="22">
        <v>6503344.4199999999</v>
      </c>
      <c r="M444" s="22">
        <v>6503344.4199999999</v>
      </c>
      <c r="N444" s="2" t="s">
        <v>282</v>
      </c>
      <c r="O444" s="7">
        <v>0</v>
      </c>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v>6503344.4199999999</v>
      </c>
      <c r="AQ444" s="7"/>
      <c r="AR444" s="7"/>
      <c r="AS444" s="7"/>
      <c r="AT444" s="7"/>
      <c r="AU444" s="7"/>
      <c r="AV444" s="7"/>
      <c r="AW444" s="7"/>
      <c r="AX444" s="7"/>
      <c r="AY444" s="7"/>
      <c r="AZ444" s="7"/>
      <c r="BA444" s="7"/>
      <c r="BB444" s="7"/>
      <c r="BC444" s="7"/>
      <c r="BD444" s="7"/>
      <c r="BE444" s="7"/>
      <c r="BF444" s="7"/>
      <c r="BG444" s="7"/>
      <c r="BH444" s="7"/>
      <c r="BI444" s="7"/>
      <c r="BJ444" s="7"/>
      <c r="BK444" s="7"/>
      <c r="BL444" s="7"/>
      <c r="BM444" s="7"/>
      <c r="BN444" s="7"/>
      <c r="BO444" s="7"/>
      <c r="BP444" s="8"/>
      <c r="BQ444" s="8">
        <v>45698</v>
      </c>
      <c r="BR444" s="2"/>
      <c r="BS444" s="2" t="s">
        <v>1737</v>
      </c>
      <c r="BT444" s="14">
        <f t="shared" si="22"/>
        <v>6503344.4199999999</v>
      </c>
      <c r="BU444" s="2" t="str">
        <f t="shared" si="23"/>
        <v>OK</v>
      </c>
      <c r="BV444" s="13">
        <f t="shared" si="24"/>
        <v>0</v>
      </c>
    </row>
    <row r="445" spans="1:74" s="9" customFormat="1" ht="92.25" customHeight="1" x14ac:dyDescent="0.25">
      <c r="A445" s="2" t="s">
        <v>1215</v>
      </c>
      <c r="B445" s="2" t="s">
        <v>309</v>
      </c>
      <c r="C445" s="2" t="s">
        <v>274</v>
      </c>
      <c r="D445" s="12" t="s">
        <v>1823</v>
      </c>
      <c r="E445" s="2" t="s">
        <v>311</v>
      </c>
      <c r="F445" s="2" t="s">
        <v>65</v>
      </c>
      <c r="G445" s="2" t="s">
        <v>2036</v>
      </c>
      <c r="H445" s="2" t="s">
        <v>294</v>
      </c>
      <c r="I445" s="2" t="s">
        <v>1743</v>
      </c>
      <c r="J445" s="2">
        <v>925</v>
      </c>
      <c r="K445" s="2" t="s">
        <v>67</v>
      </c>
      <c r="L445" s="22">
        <v>3964751.15</v>
      </c>
      <c r="M445" s="22">
        <v>2964751.15</v>
      </c>
      <c r="N445" s="2" t="s">
        <v>282</v>
      </c>
      <c r="O445" s="7">
        <v>0</v>
      </c>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v>2964751.15</v>
      </c>
      <c r="AQ445" s="7"/>
      <c r="AR445" s="7"/>
      <c r="AS445" s="7"/>
      <c r="AT445" s="7"/>
      <c r="AU445" s="7"/>
      <c r="AV445" s="7"/>
      <c r="AW445" s="7"/>
      <c r="AX445" s="7"/>
      <c r="AY445" s="7"/>
      <c r="AZ445" s="7"/>
      <c r="BA445" s="7"/>
      <c r="BB445" s="7"/>
      <c r="BC445" s="7"/>
      <c r="BD445" s="7"/>
      <c r="BE445" s="7"/>
      <c r="BF445" s="7"/>
      <c r="BG445" s="7"/>
      <c r="BH445" s="7"/>
      <c r="BI445" s="7"/>
      <c r="BJ445" s="7"/>
      <c r="BK445" s="7"/>
      <c r="BL445" s="7"/>
      <c r="BM445" s="7"/>
      <c r="BN445" s="7"/>
      <c r="BO445" s="7"/>
      <c r="BP445" s="8"/>
      <c r="BQ445" s="8">
        <v>45698</v>
      </c>
      <c r="BR445" s="2"/>
      <c r="BS445" s="2" t="s">
        <v>1742</v>
      </c>
      <c r="BT445" s="14">
        <f t="shared" si="22"/>
        <v>2964751.15</v>
      </c>
      <c r="BU445" s="2" t="str">
        <f t="shared" si="23"/>
        <v>OK</v>
      </c>
      <c r="BV445" s="13">
        <f t="shared" si="24"/>
        <v>0</v>
      </c>
    </row>
    <row r="446" spans="1:74" s="9" customFormat="1" ht="96" customHeight="1" x14ac:dyDescent="0.25">
      <c r="A446" s="2" t="s">
        <v>1222</v>
      </c>
      <c r="B446" s="2" t="s">
        <v>321</v>
      </c>
      <c r="C446" s="2" t="s">
        <v>274</v>
      </c>
      <c r="D446" s="12" t="s">
        <v>322</v>
      </c>
      <c r="E446" s="2" t="s">
        <v>323</v>
      </c>
      <c r="F446" s="2" t="s">
        <v>65</v>
      </c>
      <c r="G446" s="2" t="s">
        <v>2036</v>
      </c>
      <c r="H446" s="2" t="s">
        <v>77</v>
      </c>
      <c r="I446" s="2" t="s">
        <v>324</v>
      </c>
      <c r="J446" s="2">
        <v>100</v>
      </c>
      <c r="K446" s="2" t="s">
        <v>67</v>
      </c>
      <c r="L446" s="22">
        <v>1004960</v>
      </c>
      <c r="M446" s="22">
        <v>502480</v>
      </c>
      <c r="N446" s="2" t="s">
        <v>282</v>
      </c>
      <c r="O446" s="7">
        <v>0</v>
      </c>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v>502480</v>
      </c>
      <c r="AQ446" s="7"/>
      <c r="AR446" s="7"/>
      <c r="AS446" s="7"/>
      <c r="AT446" s="7"/>
      <c r="AU446" s="7"/>
      <c r="AV446" s="7"/>
      <c r="AW446" s="7"/>
      <c r="AX446" s="7"/>
      <c r="AY446" s="7"/>
      <c r="AZ446" s="7"/>
      <c r="BA446" s="7"/>
      <c r="BB446" s="7"/>
      <c r="BC446" s="7"/>
      <c r="BD446" s="7"/>
      <c r="BE446" s="7"/>
      <c r="BF446" s="7"/>
      <c r="BG446" s="7"/>
      <c r="BH446" s="7"/>
      <c r="BI446" s="7"/>
      <c r="BJ446" s="7"/>
      <c r="BK446" s="7"/>
      <c r="BL446" s="7"/>
      <c r="BM446" s="7"/>
      <c r="BN446" s="7"/>
      <c r="BO446" s="7"/>
      <c r="BP446" s="2"/>
      <c r="BQ446" s="8">
        <v>46120</v>
      </c>
      <c r="BR446" s="8"/>
      <c r="BS446" s="2" t="s">
        <v>1737</v>
      </c>
      <c r="BT446" s="14">
        <f t="shared" si="22"/>
        <v>502480</v>
      </c>
      <c r="BU446" s="2" t="str">
        <f t="shared" si="23"/>
        <v>OK</v>
      </c>
      <c r="BV446" s="13">
        <f t="shared" si="24"/>
        <v>0</v>
      </c>
    </row>
    <row r="447" spans="1:74" s="9" customFormat="1" ht="90" x14ac:dyDescent="0.25">
      <c r="A447" s="2" t="s">
        <v>1228</v>
      </c>
      <c r="B447" s="2" t="s">
        <v>286</v>
      </c>
      <c r="C447" s="2" t="s">
        <v>274</v>
      </c>
      <c r="D447" s="12" t="s">
        <v>2084</v>
      </c>
      <c r="E447" s="6" t="s">
        <v>288</v>
      </c>
      <c r="F447" s="2" t="s">
        <v>65</v>
      </c>
      <c r="G447" s="2" t="s">
        <v>2036</v>
      </c>
      <c r="H447" s="2" t="s">
        <v>77</v>
      </c>
      <c r="I447" s="2" t="s">
        <v>324</v>
      </c>
      <c r="J447" s="2">
        <v>120</v>
      </c>
      <c r="K447" s="2" t="s">
        <v>67</v>
      </c>
      <c r="L447" s="22">
        <v>252377.88</v>
      </c>
      <c r="M447" s="22">
        <v>252377.88</v>
      </c>
      <c r="N447" s="2" t="s">
        <v>282</v>
      </c>
      <c r="O447" s="7">
        <v>0</v>
      </c>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v>252377.88</v>
      </c>
      <c r="AQ447" s="7"/>
      <c r="AR447" s="7"/>
      <c r="AS447" s="7"/>
      <c r="AT447" s="7"/>
      <c r="AU447" s="7"/>
      <c r="AV447" s="7"/>
      <c r="AW447" s="7"/>
      <c r="AX447" s="7"/>
      <c r="AY447" s="7"/>
      <c r="AZ447" s="7"/>
      <c r="BA447" s="7"/>
      <c r="BB447" s="7"/>
      <c r="BC447" s="7"/>
      <c r="BD447" s="7"/>
      <c r="BE447" s="7"/>
      <c r="BF447" s="7"/>
      <c r="BG447" s="7"/>
      <c r="BH447" s="7"/>
      <c r="BI447" s="7"/>
      <c r="BJ447" s="7"/>
      <c r="BK447" s="7"/>
      <c r="BL447" s="7"/>
      <c r="BM447" s="7"/>
      <c r="BN447" s="7"/>
      <c r="BO447" s="7"/>
      <c r="BP447" s="2"/>
      <c r="BQ447" s="8">
        <v>46241</v>
      </c>
      <c r="BR447" s="8"/>
      <c r="BS447" s="2" t="s">
        <v>1738</v>
      </c>
      <c r="BT447" s="14">
        <f t="shared" si="22"/>
        <v>252377.88</v>
      </c>
      <c r="BU447" s="2" t="str">
        <f t="shared" si="23"/>
        <v>OK</v>
      </c>
      <c r="BV447" s="13">
        <f t="shared" si="24"/>
        <v>0</v>
      </c>
    </row>
    <row r="448" spans="1:74" s="9" customFormat="1" ht="78.75" hidden="1" x14ac:dyDescent="0.25">
      <c r="A448" s="2" t="s">
        <v>1236</v>
      </c>
      <c r="B448" s="2" t="s">
        <v>612</v>
      </c>
      <c r="C448" s="2" t="s">
        <v>342</v>
      </c>
      <c r="D448" s="12" t="s">
        <v>613</v>
      </c>
      <c r="E448" s="2"/>
      <c r="F448" s="2" t="s">
        <v>72</v>
      </c>
      <c r="G448" s="2" t="s">
        <v>1666</v>
      </c>
      <c r="H448" s="2" t="s">
        <v>66</v>
      </c>
      <c r="I448" s="2" t="s">
        <v>686</v>
      </c>
      <c r="J448" s="2" t="s">
        <v>1618</v>
      </c>
      <c r="K448" s="2" t="s">
        <v>67</v>
      </c>
      <c r="L448" s="22">
        <v>11150899.960000001</v>
      </c>
      <c r="M448" s="22">
        <v>3716966.65</v>
      </c>
      <c r="N448" s="2" t="s">
        <v>19</v>
      </c>
      <c r="O448" s="7"/>
      <c r="P448" s="7"/>
      <c r="Q448" s="7"/>
      <c r="R448" s="7"/>
      <c r="S448" s="7"/>
      <c r="T448" s="7"/>
      <c r="U448" s="7"/>
      <c r="V448" s="7"/>
      <c r="W448" s="7"/>
      <c r="X448" s="7"/>
      <c r="Y448" s="7"/>
      <c r="Z448" s="7">
        <v>224511.77</v>
      </c>
      <c r="AA448" s="7">
        <v>3492454.88</v>
      </c>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7"/>
      <c r="BC448" s="7"/>
      <c r="BD448" s="7"/>
      <c r="BE448" s="7"/>
      <c r="BF448" s="7"/>
      <c r="BG448" s="7"/>
      <c r="BH448" s="7"/>
      <c r="BI448" s="7"/>
      <c r="BJ448" s="7"/>
      <c r="BK448" s="7"/>
      <c r="BL448" s="7"/>
      <c r="BM448" s="7"/>
      <c r="BN448" s="7"/>
      <c r="BO448" s="7"/>
      <c r="BP448" s="8">
        <v>45691</v>
      </c>
      <c r="BQ448" s="2"/>
      <c r="BR448" s="2" t="s">
        <v>1799</v>
      </c>
      <c r="BS448" s="8"/>
      <c r="BT448" s="14">
        <f t="shared" ref="BT448:BT452" si="25">SUM(O448:BO448)</f>
        <v>3716966.65</v>
      </c>
      <c r="BU448" s="2" t="str">
        <f t="shared" si="23"/>
        <v>OK</v>
      </c>
      <c r="BV448" s="13">
        <f t="shared" si="24"/>
        <v>0</v>
      </c>
    </row>
    <row r="449" spans="1:74" s="9" customFormat="1" ht="90" hidden="1" x14ac:dyDescent="0.25">
      <c r="A449" s="2" t="s">
        <v>1399</v>
      </c>
      <c r="B449" s="2" t="s">
        <v>725</v>
      </c>
      <c r="C449" s="2" t="s">
        <v>715</v>
      </c>
      <c r="D449" s="12" t="s">
        <v>1835</v>
      </c>
      <c r="E449" s="2"/>
      <c r="F449" s="2" t="s">
        <v>65</v>
      </c>
      <c r="G449" s="2" t="s">
        <v>1671</v>
      </c>
      <c r="H449" s="2" t="s">
        <v>66</v>
      </c>
      <c r="I449" s="2" t="s">
        <v>686</v>
      </c>
      <c r="J449" s="2" t="s">
        <v>1643</v>
      </c>
      <c r="K449" s="2" t="s">
        <v>67</v>
      </c>
      <c r="L449" s="22">
        <v>2487600</v>
      </c>
      <c r="M449" s="22">
        <v>2487600</v>
      </c>
      <c r="N449" s="2" t="s">
        <v>1808</v>
      </c>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c r="BB449" s="7"/>
      <c r="BC449" s="7"/>
      <c r="BD449" s="7"/>
      <c r="BE449" s="7"/>
      <c r="BF449" s="7">
        <v>591600</v>
      </c>
      <c r="BG449" s="7">
        <v>88100</v>
      </c>
      <c r="BH449" s="7">
        <v>768500</v>
      </c>
      <c r="BI449" s="7"/>
      <c r="BJ449" s="7">
        <v>48300</v>
      </c>
      <c r="BK449" s="7">
        <v>178400</v>
      </c>
      <c r="BL449" s="7">
        <v>779600</v>
      </c>
      <c r="BM449" s="7">
        <v>22200</v>
      </c>
      <c r="BN449" s="7"/>
      <c r="BO449" s="7">
        <v>10900</v>
      </c>
      <c r="BP449" s="8">
        <v>45659</v>
      </c>
      <c r="BQ449" s="2"/>
      <c r="BR449" s="2" t="s">
        <v>1798</v>
      </c>
      <c r="BS449" s="8"/>
      <c r="BT449" s="14">
        <f t="shared" si="25"/>
        <v>2487600</v>
      </c>
      <c r="BU449" s="2" t="str">
        <f t="shared" si="23"/>
        <v>OK</v>
      </c>
      <c r="BV449" s="13">
        <f t="shared" si="24"/>
        <v>0</v>
      </c>
    </row>
    <row r="450" spans="1:74" s="9" customFormat="1" ht="101.25" hidden="1" x14ac:dyDescent="0.25">
      <c r="A450" s="2" t="s">
        <v>1404</v>
      </c>
      <c r="B450" s="2" t="s">
        <v>728</v>
      </c>
      <c r="C450" s="2" t="s">
        <v>715</v>
      </c>
      <c r="D450" s="12" t="s">
        <v>1836</v>
      </c>
      <c r="E450" s="2"/>
      <c r="F450" s="2" t="s">
        <v>65</v>
      </c>
      <c r="G450" s="2" t="s">
        <v>1671</v>
      </c>
      <c r="H450" s="2" t="s">
        <v>66</v>
      </c>
      <c r="I450" s="2" t="s">
        <v>686</v>
      </c>
      <c r="J450" s="2" t="s">
        <v>1618</v>
      </c>
      <c r="K450" s="2" t="s">
        <v>67</v>
      </c>
      <c r="L450" s="22">
        <v>230200</v>
      </c>
      <c r="M450" s="22">
        <v>230200</v>
      </c>
      <c r="N450" s="2" t="s">
        <v>1808</v>
      </c>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c r="BA450" s="7"/>
      <c r="BB450" s="7"/>
      <c r="BC450" s="7"/>
      <c r="BD450" s="7"/>
      <c r="BE450" s="7"/>
      <c r="BF450" s="7">
        <v>21900</v>
      </c>
      <c r="BG450" s="7">
        <v>11200</v>
      </c>
      <c r="BH450" s="7">
        <v>74700</v>
      </c>
      <c r="BI450" s="7"/>
      <c r="BJ450" s="7">
        <v>16900</v>
      </c>
      <c r="BK450" s="7">
        <v>29500</v>
      </c>
      <c r="BL450" s="7">
        <v>50900</v>
      </c>
      <c r="BM450" s="7">
        <v>19600</v>
      </c>
      <c r="BN450" s="7"/>
      <c r="BO450" s="7">
        <v>5500</v>
      </c>
      <c r="BP450" s="8">
        <v>45659</v>
      </c>
      <c r="BQ450" s="2"/>
      <c r="BR450" s="2" t="s">
        <v>1800</v>
      </c>
      <c r="BS450" s="2"/>
      <c r="BT450" s="14">
        <f t="shared" si="25"/>
        <v>230200</v>
      </c>
      <c r="BU450" s="2" t="str">
        <f t="shared" si="23"/>
        <v>OK</v>
      </c>
      <c r="BV450" s="13">
        <f t="shared" si="24"/>
        <v>0</v>
      </c>
    </row>
    <row r="451" spans="1:74" s="9" customFormat="1" ht="101.25" hidden="1" x14ac:dyDescent="0.25">
      <c r="A451" s="2" t="s">
        <v>1405</v>
      </c>
      <c r="B451" s="2" t="s">
        <v>727</v>
      </c>
      <c r="C451" s="2" t="s">
        <v>715</v>
      </c>
      <c r="D451" s="12" t="s">
        <v>1837</v>
      </c>
      <c r="E451" s="2"/>
      <c r="F451" s="2" t="s">
        <v>65</v>
      </c>
      <c r="G451" s="2" t="s">
        <v>1671</v>
      </c>
      <c r="H451" s="2" t="s">
        <v>66</v>
      </c>
      <c r="I451" s="2" t="s">
        <v>686</v>
      </c>
      <c r="J451" s="2" t="s">
        <v>1618</v>
      </c>
      <c r="K451" s="2" t="s">
        <v>67</v>
      </c>
      <c r="L451" s="22">
        <v>215100</v>
      </c>
      <c r="M451" s="22">
        <v>215100</v>
      </c>
      <c r="N451" s="2" t="s">
        <v>1808</v>
      </c>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c r="BB451" s="7"/>
      <c r="BC451" s="7"/>
      <c r="BD451" s="7"/>
      <c r="BE451" s="7"/>
      <c r="BF451" s="7">
        <v>1100</v>
      </c>
      <c r="BG451" s="7">
        <v>8900</v>
      </c>
      <c r="BH451" s="7">
        <v>39700</v>
      </c>
      <c r="BI451" s="7"/>
      <c r="BJ451" s="7">
        <v>9700</v>
      </c>
      <c r="BK451" s="7">
        <v>16400</v>
      </c>
      <c r="BL451" s="7">
        <v>115800</v>
      </c>
      <c r="BM451" s="7">
        <v>18000</v>
      </c>
      <c r="BN451" s="7"/>
      <c r="BO451" s="7">
        <v>5500</v>
      </c>
      <c r="BP451" s="8">
        <v>45659</v>
      </c>
      <c r="BQ451" s="2"/>
      <c r="BR451" s="2" t="s">
        <v>1798</v>
      </c>
      <c r="BS451" s="2"/>
      <c r="BT451" s="14">
        <f t="shared" si="25"/>
        <v>215100</v>
      </c>
      <c r="BU451" s="2" t="str">
        <f t="shared" si="23"/>
        <v>OK</v>
      </c>
      <c r="BV451" s="13">
        <f t="shared" si="24"/>
        <v>0</v>
      </c>
    </row>
    <row r="452" spans="1:74" s="9" customFormat="1" ht="101.25" hidden="1" x14ac:dyDescent="0.25">
      <c r="A452" s="2" t="s">
        <v>1406</v>
      </c>
      <c r="B452" s="2" t="s">
        <v>721</v>
      </c>
      <c r="C452" s="2" t="s">
        <v>715</v>
      </c>
      <c r="D452" s="12" t="s">
        <v>1838</v>
      </c>
      <c r="E452" s="2"/>
      <c r="F452" s="2" t="s">
        <v>65</v>
      </c>
      <c r="G452" s="2" t="s">
        <v>1671</v>
      </c>
      <c r="H452" s="2" t="s">
        <v>66</v>
      </c>
      <c r="I452" s="2" t="s">
        <v>686</v>
      </c>
      <c r="J452" s="2" t="s">
        <v>1618</v>
      </c>
      <c r="K452" s="2" t="s">
        <v>67</v>
      </c>
      <c r="L452" s="22">
        <v>195600</v>
      </c>
      <c r="M452" s="22">
        <v>195600</v>
      </c>
      <c r="N452" s="2" t="s">
        <v>1808</v>
      </c>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c r="BA452" s="7"/>
      <c r="BB452" s="7"/>
      <c r="BC452" s="7"/>
      <c r="BD452" s="7"/>
      <c r="BE452" s="7"/>
      <c r="BF452" s="7">
        <v>16600</v>
      </c>
      <c r="BG452" s="7">
        <v>13200</v>
      </c>
      <c r="BH452" s="7">
        <v>29400</v>
      </c>
      <c r="BI452" s="7"/>
      <c r="BJ452" s="7">
        <v>62300</v>
      </c>
      <c r="BK452" s="7">
        <v>25800</v>
      </c>
      <c r="BL452" s="7">
        <v>32600</v>
      </c>
      <c r="BM452" s="7">
        <v>14600</v>
      </c>
      <c r="BN452" s="7"/>
      <c r="BO452" s="7">
        <v>1100</v>
      </c>
      <c r="BP452" s="8">
        <v>45659</v>
      </c>
      <c r="BQ452" s="2"/>
      <c r="BR452" s="2" t="s">
        <v>1800</v>
      </c>
      <c r="BS452" s="2"/>
      <c r="BT452" s="14">
        <f t="shared" si="25"/>
        <v>195600</v>
      </c>
      <c r="BU452" s="2" t="str">
        <f t="shared" si="23"/>
        <v>OK</v>
      </c>
      <c r="BV452" s="13">
        <f t="shared" si="24"/>
        <v>0</v>
      </c>
    </row>
    <row r="453" spans="1:74" s="9" customFormat="1" ht="101.25" hidden="1" x14ac:dyDescent="0.25">
      <c r="A453" s="2" t="s">
        <v>1407</v>
      </c>
      <c r="B453" s="2" t="s">
        <v>731</v>
      </c>
      <c r="C453" s="2" t="s">
        <v>715</v>
      </c>
      <c r="D453" s="12" t="s">
        <v>732</v>
      </c>
      <c r="E453" s="2"/>
      <c r="F453" s="2" t="s">
        <v>65</v>
      </c>
      <c r="G453" s="2" t="s">
        <v>1671</v>
      </c>
      <c r="H453" s="2" t="s">
        <v>66</v>
      </c>
      <c r="I453" s="2" t="s">
        <v>686</v>
      </c>
      <c r="J453" s="2" t="s">
        <v>1618</v>
      </c>
      <c r="K453" s="2" t="s">
        <v>67</v>
      </c>
      <c r="L453" s="22">
        <v>128400</v>
      </c>
      <c r="M453" s="22">
        <v>128400</v>
      </c>
      <c r="N453" s="2" t="s">
        <v>1808</v>
      </c>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c r="BD453" s="7"/>
      <c r="BE453" s="7"/>
      <c r="BF453" s="7">
        <v>22300</v>
      </c>
      <c r="BG453" s="7">
        <v>5500</v>
      </c>
      <c r="BH453" s="7">
        <v>31200</v>
      </c>
      <c r="BI453" s="7"/>
      <c r="BJ453" s="7">
        <v>26900</v>
      </c>
      <c r="BK453" s="7">
        <v>8300</v>
      </c>
      <c r="BL453" s="7">
        <v>23500</v>
      </c>
      <c r="BM453" s="7">
        <v>7400</v>
      </c>
      <c r="BN453" s="7"/>
      <c r="BO453" s="7">
        <v>3300</v>
      </c>
      <c r="BP453" s="8">
        <v>45659</v>
      </c>
      <c r="BQ453" s="2"/>
      <c r="BR453" s="2" t="s">
        <v>1798</v>
      </c>
      <c r="BS453" s="2" t="s">
        <v>1701</v>
      </c>
      <c r="BT453" s="14">
        <f t="shared" ref="BT453:BT467" si="26">SUM(O453:BO453)</f>
        <v>128400</v>
      </c>
      <c r="BU453" s="2" t="str">
        <f t="shared" si="23"/>
        <v>OK</v>
      </c>
      <c r="BV453" s="13">
        <f t="shared" si="24"/>
        <v>0</v>
      </c>
    </row>
    <row r="454" spans="1:74" s="9" customFormat="1" ht="101.25" hidden="1" x14ac:dyDescent="0.25">
      <c r="A454" s="2" t="s">
        <v>1408</v>
      </c>
      <c r="B454" s="2" t="s">
        <v>718</v>
      </c>
      <c r="C454" s="2" t="s">
        <v>715</v>
      </c>
      <c r="D454" s="12" t="s">
        <v>1839</v>
      </c>
      <c r="E454" s="2"/>
      <c r="F454" s="2" t="s">
        <v>65</v>
      </c>
      <c r="G454" s="2" t="s">
        <v>1671</v>
      </c>
      <c r="H454" s="2" t="s">
        <v>66</v>
      </c>
      <c r="I454" s="2" t="s">
        <v>686</v>
      </c>
      <c r="J454" s="2" t="s">
        <v>1618</v>
      </c>
      <c r="K454" s="2" t="s">
        <v>67</v>
      </c>
      <c r="L454" s="22">
        <v>126500</v>
      </c>
      <c r="M454" s="22">
        <v>126500</v>
      </c>
      <c r="N454" s="2" t="s">
        <v>1808</v>
      </c>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c r="BF454" s="7">
        <v>18200</v>
      </c>
      <c r="BG454" s="7">
        <v>13800</v>
      </c>
      <c r="BH454" s="7">
        <v>32800</v>
      </c>
      <c r="BI454" s="7"/>
      <c r="BJ454" s="7">
        <v>5600</v>
      </c>
      <c r="BK454" s="7">
        <v>13800</v>
      </c>
      <c r="BL454" s="7">
        <v>26900</v>
      </c>
      <c r="BM454" s="7">
        <v>10500</v>
      </c>
      <c r="BN454" s="7"/>
      <c r="BO454" s="7">
        <v>4900</v>
      </c>
      <c r="BP454" s="8">
        <v>45659</v>
      </c>
      <c r="BQ454" s="2"/>
      <c r="BR454" s="2" t="s">
        <v>1800</v>
      </c>
      <c r="BS454" s="8"/>
      <c r="BT454" s="14">
        <f t="shared" si="26"/>
        <v>126500</v>
      </c>
      <c r="BU454" s="2" t="str">
        <f t="shared" si="23"/>
        <v>OK</v>
      </c>
      <c r="BV454" s="13">
        <f t="shared" si="24"/>
        <v>0</v>
      </c>
    </row>
    <row r="455" spans="1:74" s="9" customFormat="1" ht="101.25" hidden="1" x14ac:dyDescent="0.25">
      <c r="A455" s="2" t="s">
        <v>1409</v>
      </c>
      <c r="B455" s="2" t="s">
        <v>722</v>
      </c>
      <c r="C455" s="2" t="s">
        <v>715</v>
      </c>
      <c r="D455" s="12" t="s">
        <v>723</v>
      </c>
      <c r="E455" s="2"/>
      <c r="F455" s="2" t="s">
        <v>65</v>
      </c>
      <c r="G455" s="2" t="s">
        <v>1671</v>
      </c>
      <c r="H455" s="2" t="s">
        <v>66</v>
      </c>
      <c r="I455" s="2" t="s">
        <v>686</v>
      </c>
      <c r="J455" s="2" t="s">
        <v>1618</v>
      </c>
      <c r="K455" s="2" t="s">
        <v>67</v>
      </c>
      <c r="L455" s="22">
        <v>100600</v>
      </c>
      <c r="M455" s="22">
        <v>100600</v>
      </c>
      <c r="N455" s="2" t="s">
        <v>1808</v>
      </c>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7"/>
      <c r="BC455" s="7"/>
      <c r="BD455" s="7"/>
      <c r="BE455" s="7"/>
      <c r="BF455" s="7">
        <v>4600</v>
      </c>
      <c r="BG455" s="7">
        <v>15700</v>
      </c>
      <c r="BH455" s="7">
        <v>19000</v>
      </c>
      <c r="BI455" s="7"/>
      <c r="BJ455" s="7">
        <v>5500</v>
      </c>
      <c r="BK455" s="7">
        <v>30100</v>
      </c>
      <c r="BL455" s="7">
        <v>18100</v>
      </c>
      <c r="BM455" s="7">
        <v>2100</v>
      </c>
      <c r="BN455" s="7"/>
      <c r="BO455" s="7">
        <v>5500</v>
      </c>
      <c r="BP455" s="8">
        <v>45659</v>
      </c>
      <c r="BQ455" s="2"/>
      <c r="BR455" s="2" t="s">
        <v>1798</v>
      </c>
      <c r="BS455" s="2"/>
      <c r="BT455" s="14">
        <f t="shared" si="26"/>
        <v>100600</v>
      </c>
      <c r="BU455" s="2" t="str">
        <f t="shared" si="23"/>
        <v>OK</v>
      </c>
      <c r="BV455" s="13">
        <f t="shared" si="24"/>
        <v>0</v>
      </c>
    </row>
    <row r="456" spans="1:74" s="9" customFormat="1" ht="90" hidden="1" x14ac:dyDescent="0.25">
      <c r="A456" s="2" t="s">
        <v>1410</v>
      </c>
      <c r="B456" s="2" t="s">
        <v>720</v>
      </c>
      <c r="C456" s="2" t="s">
        <v>715</v>
      </c>
      <c r="D456" s="12" t="s">
        <v>1840</v>
      </c>
      <c r="E456" s="2"/>
      <c r="F456" s="2" t="s">
        <v>65</v>
      </c>
      <c r="G456" s="2" t="s">
        <v>1671</v>
      </c>
      <c r="H456" s="2" t="s">
        <v>66</v>
      </c>
      <c r="I456" s="2" t="s">
        <v>686</v>
      </c>
      <c r="J456" s="2" t="s">
        <v>1618</v>
      </c>
      <c r="K456" s="2" t="s">
        <v>67</v>
      </c>
      <c r="L456" s="22">
        <v>80100</v>
      </c>
      <c r="M456" s="22">
        <v>80100</v>
      </c>
      <c r="N456" s="2" t="s">
        <v>1808</v>
      </c>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7"/>
      <c r="BC456" s="7"/>
      <c r="BD456" s="7"/>
      <c r="BE456" s="7"/>
      <c r="BF456" s="7">
        <v>22300</v>
      </c>
      <c r="BG456" s="7">
        <v>5500</v>
      </c>
      <c r="BH456" s="7">
        <v>7000</v>
      </c>
      <c r="BI456" s="7"/>
      <c r="BJ456" s="7">
        <v>11600</v>
      </c>
      <c r="BK456" s="7">
        <v>12800</v>
      </c>
      <c r="BL456" s="7">
        <v>4500</v>
      </c>
      <c r="BM456" s="7">
        <v>10900</v>
      </c>
      <c r="BN456" s="7"/>
      <c r="BO456" s="7">
        <v>5500</v>
      </c>
      <c r="BP456" s="8">
        <v>45659</v>
      </c>
      <c r="BQ456" s="2"/>
      <c r="BR456" s="2" t="s">
        <v>1800</v>
      </c>
      <c r="BS456" s="8" t="s">
        <v>1740</v>
      </c>
      <c r="BT456" s="14">
        <f t="shared" si="26"/>
        <v>80100</v>
      </c>
      <c r="BU456" s="2" t="str">
        <f t="shared" si="23"/>
        <v>OK</v>
      </c>
      <c r="BV456" s="13">
        <f t="shared" si="24"/>
        <v>0</v>
      </c>
    </row>
    <row r="457" spans="1:74" s="9" customFormat="1" ht="101.25" hidden="1" x14ac:dyDescent="0.25">
      <c r="A457" s="2" t="s">
        <v>1411</v>
      </c>
      <c r="B457" s="2" t="s">
        <v>717</v>
      </c>
      <c r="C457" s="2" t="s">
        <v>715</v>
      </c>
      <c r="D457" s="12" t="s">
        <v>1841</v>
      </c>
      <c r="E457" s="2"/>
      <c r="F457" s="2" t="s">
        <v>65</v>
      </c>
      <c r="G457" s="2" t="s">
        <v>1671</v>
      </c>
      <c r="H457" s="2" t="s">
        <v>66</v>
      </c>
      <c r="I457" s="2" t="s">
        <v>686</v>
      </c>
      <c r="J457" s="2" t="s">
        <v>1618</v>
      </c>
      <c r="K457" s="2" t="s">
        <v>67</v>
      </c>
      <c r="L457" s="22">
        <v>60800</v>
      </c>
      <c r="M457" s="22">
        <v>60800</v>
      </c>
      <c r="N457" s="2" t="s">
        <v>1808</v>
      </c>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7"/>
      <c r="BC457" s="7"/>
      <c r="BD457" s="7"/>
      <c r="BE457" s="7"/>
      <c r="BF457" s="7">
        <v>9300</v>
      </c>
      <c r="BG457" s="7">
        <v>9900</v>
      </c>
      <c r="BH457" s="7">
        <v>11500</v>
      </c>
      <c r="BI457" s="7"/>
      <c r="BJ457" s="7">
        <v>5500</v>
      </c>
      <c r="BK457" s="7">
        <v>2000</v>
      </c>
      <c r="BL457" s="7">
        <v>11600</v>
      </c>
      <c r="BM457" s="7">
        <v>5500</v>
      </c>
      <c r="BN457" s="7"/>
      <c r="BO457" s="7">
        <v>5500</v>
      </c>
      <c r="BP457" s="8">
        <v>45659</v>
      </c>
      <c r="BQ457" s="2"/>
      <c r="BR457" s="2" t="s">
        <v>1798</v>
      </c>
      <c r="BS457" s="2"/>
      <c r="BT457" s="14">
        <f t="shared" si="26"/>
        <v>60800</v>
      </c>
      <c r="BU457" s="2" t="str">
        <f t="shared" si="23"/>
        <v>OK</v>
      </c>
      <c r="BV457" s="13">
        <f t="shared" si="24"/>
        <v>0</v>
      </c>
    </row>
    <row r="458" spans="1:74" s="9" customFormat="1" ht="90" hidden="1" x14ac:dyDescent="0.25">
      <c r="A458" s="2" t="s">
        <v>1412</v>
      </c>
      <c r="B458" s="2" t="s">
        <v>729</v>
      </c>
      <c r="C458" s="2" t="s">
        <v>715</v>
      </c>
      <c r="D458" s="12" t="s">
        <v>1842</v>
      </c>
      <c r="E458" s="2"/>
      <c r="F458" s="2" t="s">
        <v>65</v>
      </c>
      <c r="G458" s="2" t="s">
        <v>1671</v>
      </c>
      <c r="H458" s="2" t="s">
        <v>66</v>
      </c>
      <c r="I458" s="2" t="s">
        <v>686</v>
      </c>
      <c r="J458" s="2" t="s">
        <v>1618</v>
      </c>
      <c r="K458" s="2" t="s">
        <v>67</v>
      </c>
      <c r="L458" s="22">
        <v>54600</v>
      </c>
      <c r="M458" s="22">
        <v>54600</v>
      </c>
      <c r="N458" s="2" t="s">
        <v>1808</v>
      </c>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7"/>
      <c r="BC458" s="7"/>
      <c r="BD458" s="7"/>
      <c r="BE458" s="7"/>
      <c r="BF458" s="7">
        <v>1100</v>
      </c>
      <c r="BG458" s="7">
        <v>4600</v>
      </c>
      <c r="BH458" s="7">
        <v>30900</v>
      </c>
      <c r="BI458" s="7"/>
      <c r="BJ458" s="7">
        <v>5500</v>
      </c>
      <c r="BK458" s="7">
        <v>5600</v>
      </c>
      <c r="BL458" s="7">
        <v>4700</v>
      </c>
      <c r="BM458" s="7">
        <v>1100</v>
      </c>
      <c r="BN458" s="7"/>
      <c r="BO458" s="7">
        <v>1100</v>
      </c>
      <c r="BP458" s="8">
        <v>45659</v>
      </c>
      <c r="BQ458" s="2"/>
      <c r="BR458" s="2" t="s">
        <v>1800</v>
      </c>
      <c r="BS458" s="2"/>
      <c r="BT458" s="14">
        <f t="shared" si="26"/>
        <v>54600</v>
      </c>
      <c r="BU458" s="2" t="str">
        <f t="shared" si="23"/>
        <v>OK</v>
      </c>
      <c r="BV458" s="13">
        <f t="shared" si="24"/>
        <v>0</v>
      </c>
    </row>
    <row r="459" spans="1:74" s="9" customFormat="1" ht="90" hidden="1" x14ac:dyDescent="0.25">
      <c r="A459" s="2" t="s">
        <v>1413</v>
      </c>
      <c r="B459" s="2" t="s">
        <v>716</v>
      </c>
      <c r="C459" s="2" t="s">
        <v>715</v>
      </c>
      <c r="D459" s="12" t="s">
        <v>1843</v>
      </c>
      <c r="E459" s="2"/>
      <c r="F459" s="2" t="s">
        <v>65</v>
      </c>
      <c r="G459" s="2" t="s">
        <v>1671</v>
      </c>
      <c r="H459" s="2" t="s">
        <v>66</v>
      </c>
      <c r="I459" s="2" t="s">
        <v>686</v>
      </c>
      <c r="J459" s="2" t="s">
        <v>1618</v>
      </c>
      <c r="K459" s="2" t="s">
        <v>67</v>
      </c>
      <c r="L459" s="22">
        <v>31800</v>
      </c>
      <c r="M459" s="22">
        <v>31800</v>
      </c>
      <c r="N459" s="2" t="s">
        <v>1808</v>
      </c>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c r="BA459" s="7"/>
      <c r="BB459" s="7"/>
      <c r="BC459" s="7"/>
      <c r="BD459" s="7"/>
      <c r="BE459" s="7"/>
      <c r="BF459" s="7">
        <v>4500</v>
      </c>
      <c r="BG459" s="7">
        <v>2800</v>
      </c>
      <c r="BH459" s="7">
        <v>10500</v>
      </c>
      <c r="BI459" s="7"/>
      <c r="BJ459" s="7">
        <v>3300</v>
      </c>
      <c r="BK459" s="7">
        <v>1100</v>
      </c>
      <c r="BL459" s="7">
        <v>7400</v>
      </c>
      <c r="BM459" s="7">
        <v>1100</v>
      </c>
      <c r="BN459" s="7"/>
      <c r="BO459" s="7">
        <v>1100</v>
      </c>
      <c r="BP459" s="8">
        <v>45659</v>
      </c>
      <c r="BQ459" s="2"/>
      <c r="BR459" s="2" t="s">
        <v>1798</v>
      </c>
      <c r="BS459" s="2"/>
      <c r="BT459" s="14">
        <f t="shared" si="26"/>
        <v>31800</v>
      </c>
      <c r="BU459" s="2" t="str">
        <f t="shared" si="23"/>
        <v>OK</v>
      </c>
      <c r="BV459" s="13">
        <f t="shared" si="24"/>
        <v>0</v>
      </c>
    </row>
    <row r="460" spans="1:74" s="9" customFormat="1" ht="101.25" hidden="1" x14ac:dyDescent="0.25">
      <c r="A460" s="2" t="s">
        <v>1414</v>
      </c>
      <c r="B460" s="2" t="s">
        <v>724</v>
      </c>
      <c r="C460" s="2" t="s">
        <v>715</v>
      </c>
      <c r="D460" s="12" t="s">
        <v>1844</v>
      </c>
      <c r="E460" s="2"/>
      <c r="F460" s="2" t="s">
        <v>65</v>
      </c>
      <c r="G460" s="2" t="s">
        <v>1671</v>
      </c>
      <c r="H460" s="2" t="s">
        <v>66</v>
      </c>
      <c r="I460" s="2" t="s">
        <v>686</v>
      </c>
      <c r="J460" s="2" t="s">
        <v>1618</v>
      </c>
      <c r="K460" s="2" t="s">
        <v>67</v>
      </c>
      <c r="L460" s="22">
        <v>31800</v>
      </c>
      <c r="M460" s="22">
        <v>31800</v>
      </c>
      <c r="N460" s="2" t="s">
        <v>1808</v>
      </c>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7"/>
      <c r="BD460" s="7"/>
      <c r="BE460" s="7"/>
      <c r="BF460" s="7">
        <v>11300</v>
      </c>
      <c r="BG460" s="7">
        <v>4200</v>
      </c>
      <c r="BH460" s="7">
        <v>3300</v>
      </c>
      <c r="BI460" s="7"/>
      <c r="BJ460" s="7">
        <v>3300</v>
      </c>
      <c r="BK460" s="7">
        <v>3300</v>
      </c>
      <c r="BL460" s="7">
        <v>4200</v>
      </c>
      <c r="BM460" s="7">
        <v>1100</v>
      </c>
      <c r="BN460" s="7"/>
      <c r="BO460" s="7">
        <v>1100</v>
      </c>
      <c r="BP460" s="8">
        <v>45659</v>
      </c>
      <c r="BQ460" s="2"/>
      <c r="BR460" s="2" t="s">
        <v>1800</v>
      </c>
      <c r="BS460" s="2"/>
      <c r="BT460" s="14">
        <f t="shared" si="26"/>
        <v>31800</v>
      </c>
      <c r="BU460" s="2" t="str">
        <f t="shared" si="23"/>
        <v>OK</v>
      </c>
      <c r="BV460" s="13">
        <f t="shared" si="24"/>
        <v>0</v>
      </c>
    </row>
    <row r="461" spans="1:74" s="9" customFormat="1" ht="101.25" hidden="1" x14ac:dyDescent="0.25">
      <c r="A461" s="2" t="s">
        <v>1415</v>
      </c>
      <c r="B461" s="2" t="s">
        <v>719</v>
      </c>
      <c r="C461" s="2" t="s">
        <v>715</v>
      </c>
      <c r="D461" s="12" t="s">
        <v>1845</v>
      </c>
      <c r="E461" s="2"/>
      <c r="F461" s="2" t="s">
        <v>65</v>
      </c>
      <c r="G461" s="2" t="s">
        <v>1671</v>
      </c>
      <c r="H461" s="2" t="s">
        <v>66</v>
      </c>
      <c r="I461" s="2" t="s">
        <v>686</v>
      </c>
      <c r="J461" s="2" t="s">
        <v>1618</v>
      </c>
      <c r="K461" s="2" t="s">
        <v>67</v>
      </c>
      <c r="L461" s="22">
        <v>20800</v>
      </c>
      <c r="M461" s="22">
        <v>20800</v>
      </c>
      <c r="N461" s="2" t="s">
        <v>1808</v>
      </c>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c r="BA461" s="7"/>
      <c r="BB461" s="7"/>
      <c r="BC461" s="7"/>
      <c r="BD461" s="7"/>
      <c r="BE461" s="7"/>
      <c r="BF461" s="7"/>
      <c r="BG461" s="7">
        <v>7100</v>
      </c>
      <c r="BH461" s="7">
        <v>3300</v>
      </c>
      <c r="BI461" s="7"/>
      <c r="BJ461" s="7"/>
      <c r="BK461" s="7">
        <v>10400</v>
      </c>
      <c r="BL461" s="7"/>
      <c r="BM461" s="7"/>
      <c r="BN461" s="7"/>
      <c r="BO461" s="7"/>
      <c r="BP461" s="8">
        <v>45659</v>
      </c>
      <c r="BQ461" s="2"/>
      <c r="BR461" s="2" t="s">
        <v>1798</v>
      </c>
      <c r="BS461" s="2" t="s">
        <v>1710</v>
      </c>
      <c r="BT461" s="14">
        <f t="shared" si="26"/>
        <v>20800</v>
      </c>
      <c r="BU461" s="2" t="str">
        <f t="shared" si="23"/>
        <v>OK</v>
      </c>
      <c r="BV461" s="13">
        <f t="shared" si="24"/>
        <v>0</v>
      </c>
    </row>
    <row r="462" spans="1:74" s="9" customFormat="1" ht="101.25" hidden="1" x14ac:dyDescent="0.25">
      <c r="A462" s="2" t="s">
        <v>1426</v>
      </c>
      <c r="B462" s="2" t="s">
        <v>726</v>
      </c>
      <c r="C462" s="2" t="s">
        <v>715</v>
      </c>
      <c r="D462" s="12" t="s">
        <v>1846</v>
      </c>
      <c r="E462" s="2"/>
      <c r="F462" s="2" t="s">
        <v>65</v>
      </c>
      <c r="G462" s="2" t="s">
        <v>1671</v>
      </c>
      <c r="H462" s="2" t="s">
        <v>66</v>
      </c>
      <c r="I462" s="2" t="s">
        <v>686</v>
      </c>
      <c r="J462" s="2" t="s">
        <v>1618</v>
      </c>
      <c r="K462" s="2" t="s">
        <v>67</v>
      </c>
      <c r="L462" s="22">
        <v>20600</v>
      </c>
      <c r="M462" s="22">
        <v>20600</v>
      </c>
      <c r="N462" s="2" t="s">
        <v>1808</v>
      </c>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c r="BE462" s="7"/>
      <c r="BF462" s="7"/>
      <c r="BG462" s="7"/>
      <c r="BH462" s="7">
        <v>4600</v>
      </c>
      <c r="BI462" s="7"/>
      <c r="BJ462" s="7">
        <v>5500</v>
      </c>
      <c r="BK462" s="7"/>
      <c r="BL462" s="7">
        <v>10500</v>
      </c>
      <c r="BM462" s="7"/>
      <c r="BN462" s="7"/>
      <c r="BO462" s="7"/>
      <c r="BP462" s="8">
        <v>45659</v>
      </c>
      <c r="BQ462" s="2"/>
      <c r="BR462" s="2" t="s">
        <v>1800</v>
      </c>
      <c r="BS462" s="2" t="s">
        <v>1700</v>
      </c>
      <c r="BT462" s="14">
        <f t="shared" si="26"/>
        <v>20600</v>
      </c>
      <c r="BU462" s="2" t="str">
        <f t="shared" si="23"/>
        <v>OK</v>
      </c>
      <c r="BV462" s="13">
        <f t="shared" si="24"/>
        <v>0</v>
      </c>
    </row>
    <row r="463" spans="1:74" s="9" customFormat="1" ht="90" hidden="1" x14ac:dyDescent="0.25">
      <c r="A463" s="2" t="s">
        <v>1517</v>
      </c>
      <c r="B463" s="2" t="s">
        <v>714</v>
      </c>
      <c r="C463" s="2" t="s">
        <v>715</v>
      </c>
      <c r="D463" s="12" t="s">
        <v>1847</v>
      </c>
      <c r="E463" s="2"/>
      <c r="F463" s="2" t="s">
        <v>65</v>
      </c>
      <c r="G463" s="2" t="s">
        <v>1671</v>
      </c>
      <c r="H463" s="2" t="s">
        <v>66</v>
      </c>
      <c r="I463" s="2" t="s">
        <v>686</v>
      </c>
      <c r="J463" s="2" t="s">
        <v>1618</v>
      </c>
      <c r="K463" s="2" t="s">
        <v>67</v>
      </c>
      <c r="L463" s="22">
        <v>19200</v>
      </c>
      <c r="M463" s="22">
        <v>19200</v>
      </c>
      <c r="N463" s="2" t="s">
        <v>1808</v>
      </c>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c r="BD463" s="7"/>
      <c r="BE463" s="7"/>
      <c r="BF463" s="7">
        <v>1100</v>
      </c>
      <c r="BG463" s="7">
        <v>1100</v>
      </c>
      <c r="BH463" s="7">
        <v>6200</v>
      </c>
      <c r="BI463" s="7"/>
      <c r="BJ463" s="7">
        <v>2200</v>
      </c>
      <c r="BK463" s="7">
        <v>3300</v>
      </c>
      <c r="BL463" s="7">
        <v>3100</v>
      </c>
      <c r="BM463" s="7">
        <v>1100</v>
      </c>
      <c r="BN463" s="7"/>
      <c r="BO463" s="7">
        <v>1100</v>
      </c>
      <c r="BP463" s="8">
        <v>45659</v>
      </c>
      <c r="BQ463" s="2"/>
      <c r="BR463" s="2" t="s">
        <v>1798</v>
      </c>
      <c r="BS463" s="2"/>
      <c r="BT463" s="14">
        <f t="shared" si="26"/>
        <v>19200</v>
      </c>
      <c r="BU463" s="2" t="str">
        <f t="shared" si="23"/>
        <v>OK</v>
      </c>
      <c r="BV463" s="13">
        <f t="shared" si="24"/>
        <v>0</v>
      </c>
    </row>
    <row r="464" spans="1:74" s="9" customFormat="1" ht="90" hidden="1" x14ac:dyDescent="0.25">
      <c r="A464" s="2" t="s">
        <v>1608</v>
      </c>
      <c r="B464" s="2" t="s">
        <v>730</v>
      </c>
      <c r="C464" s="2" t="s">
        <v>715</v>
      </c>
      <c r="D464" s="12" t="s">
        <v>1848</v>
      </c>
      <c r="E464" s="2"/>
      <c r="F464" s="2" t="s">
        <v>65</v>
      </c>
      <c r="G464" s="2" t="s">
        <v>1671</v>
      </c>
      <c r="H464" s="2" t="s">
        <v>66</v>
      </c>
      <c r="I464" s="2" t="s">
        <v>686</v>
      </c>
      <c r="J464" s="2" t="s">
        <v>1618</v>
      </c>
      <c r="K464" s="2" t="s">
        <v>67</v>
      </c>
      <c r="L464" s="22">
        <v>4400</v>
      </c>
      <c r="M464" s="22">
        <v>4400</v>
      </c>
      <c r="N464" s="2" t="s">
        <v>1808</v>
      </c>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c r="BE464" s="7"/>
      <c r="BF464" s="7"/>
      <c r="BG464" s="7">
        <v>1100</v>
      </c>
      <c r="BH464" s="7">
        <v>1100</v>
      </c>
      <c r="BI464" s="7"/>
      <c r="BJ464" s="7">
        <v>1100</v>
      </c>
      <c r="BK464" s="7"/>
      <c r="BL464" s="7">
        <v>1100</v>
      </c>
      <c r="BM464" s="7"/>
      <c r="BN464" s="7"/>
      <c r="BO464" s="7"/>
      <c r="BP464" s="8">
        <v>45659</v>
      </c>
      <c r="BQ464" s="2"/>
      <c r="BR464" s="2" t="s">
        <v>1800</v>
      </c>
      <c r="BS464" s="2"/>
      <c r="BT464" s="14">
        <f t="shared" si="26"/>
        <v>4400</v>
      </c>
      <c r="BU464" s="2" t="str">
        <f t="shared" si="23"/>
        <v>OK</v>
      </c>
      <c r="BV464" s="13">
        <f t="shared" si="24"/>
        <v>0</v>
      </c>
    </row>
    <row r="465" spans="1:74" s="9" customFormat="1" ht="22.5" hidden="1" x14ac:dyDescent="0.25">
      <c r="A465" s="2" t="s">
        <v>1229</v>
      </c>
      <c r="B465" s="2" t="s">
        <v>1133</v>
      </c>
      <c r="C465" s="2" t="s">
        <v>331</v>
      </c>
      <c r="D465" s="12"/>
      <c r="E465" s="2"/>
      <c r="F465" s="2"/>
      <c r="G465" s="2"/>
      <c r="H465" s="2"/>
      <c r="I465" s="2"/>
      <c r="J465" s="2"/>
      <c r="K465" s="2" t="s">
        <v>67</v>
      </c>
      <c r="L465" s="13">
        <v>20911000</v>
      </c>
      <c r="M465" s="30">
        <f>L465</f>
        <v>20911000</v>
      </c>
      <c r="N465" s="23"/>
      <c r="O465" s="7"/>
      <c r="P465" s="7"/>
      <c r="Q465" s="7"/>
      <c r="R465" s="7">
        <f>M465</f>
        <v>20911000</v>
      </c>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c r="BB465" s="7"/>
      <c r="BC465" s="7"/>
      <c r="BD465" s="7"/>
      <c r="BE465" s="7"/>
      <c r="BF465" s="7"/>
      <c r="BG465" s="7"/>
      <c r="BH465" s="7"/>
      <c r="BI465" s="7"/>
      <c r="BJ465" s="7"/>
      <c r="BK465" s="7"/>
      <c r="BL465" s="7"/>
      <c r="BM465" s="7"/>
      <c r="BN465" s="7"/>
      <c r="BO465" s="7"/>
      <c r="BP465" s="2"/>
      <c r="BQ465" s="2"/>
      <c r="BR465" s="25"/>
      <c r="BS465" s="2"/>
      <c r="BT465" s="14">
        <f t="shared" si="26"/>
        <v>20911000</v>
      </c>
      <c r="BU465" s="2" t="str">
        <f t="shared" si="23"/>
        <v>OK</v>
      </c>
      <c r="BV465" s="13">
        <f t="shared" si="24"/>
        <v>0</v>
      </c>
    </row>
    <row r="466" spans="1:74" s="9" customFormat="1" ht="90" hidden="1" x14ac:dyDescent="0.25">
      <c r="A466" s="2" t="s">
        <v>1209</v>
      </c>
      <c r="B466" s="2" t="s">
        <v>276</v>
      </c>
      <c r="C466" s="2" t="s">
        <v>274</v>
      </c>
      <c r="D466" s="12" t="s">
        <v>277</v>
      </c>
      <c r="E466" s="2"/>
      <c r="F466" s="2" t="s">
        <v>72</v>
      </c>
      <c r="G466" s="2" t="s">
        <v>1660</v>
      </c>
      <c r="H466" s="2" t="s">
        <v>66</v>
      </c>
      <c r="I466" s="2" t="s">
        <v>5</v>
      </c>
      <c r="J466" s="2" t="s">
        <v>1618</v>
      </c>
      <c r="K466" s="2" t="s">
        <v>67</v>
      </c>
      <c r="L466" s="22">
        <v>27845362.079999998</v>
      </c>
      <c r="M466" s="22">
        <v>15845362.08</v>
      </c>
      <c r="N466" s="2" t="s">
        <v>40</v>
      </c>
      <c r="O466" s="7">
        <v>0</v>
      </c>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v>15845362.08</v>
      </c>
      <c r="AW466" s="7"/>
      <c r="AX466" s="7"/>
      <c r="AY466" s="7"/>
      <c r="AZ466" s="7"/>
      <c r="BA466" s="7"/>
      <c r="BB466" s="7"/>
      <c r="BC466" s="7"/>
      <c r="BD466" s="7"/>
      <c r="BE466" s="7"/>
      <c r="BF466" s="7"/>
      <c r="BG466" s="7"/>
      <c r="BH466" s="7"/>
      <c r="BI466" s="7"/>
      <c r="BJ466" s="7"/>
      <c r="BK466" s="7"/>
      <c r="BL466" s="7"/>
      <c r="BM466" s="7"/>
      <c r="BN466" s="7"/>
      <c r="BO466" s="7"/>
      <c r="BP466" s="8">
        <v>45870</v>
      </c>
      <c r="BQ466" s="2"/>
      <c r="BR466" s="2" t="s">
        <v>1799</v>
      </c>
      <c r="BS466" s="2" t="s">
        <v>1628</v>
      </c>
      <c r="BT466" s="14">
        <f t="shared" si="26"/>
        <v>15845362.08</v>
      </c>
      <c r="BU466" s="2" t="str">
        <f t="shared" si="23"/>
        <v>OK</v>
      </c>
      <c r="BV466" s="13">
        <f t="shared" si="24"/>
        <v>0</v>
      </c>
    </row>
    <row r="467" spans="1:74" s="9" customFormat="1" ht="22.5" hidden="1" x14ac:dyDescent="0.25">
      <c r="A467" s="2" t="s">
        <v>1605</v>
      </c>
      <c r="B467" s="2" t="s">
        <v>1133</v>
      </c>
      <c r="C467" s="2" t="s">
        <v>1132</v>
      </c>
      <c r="D467" s="12"/>
      <c r="E467" s="2"/>
      <c r="F467" s="2"/>
      <c r="G467" s="2"/>
      <c r="H467" s="2"/>
      <c r="I467" s="2"/>
      <c r="J467" s="2"/>
      <c r="K467" s="2" t="s">
        <v>67</v>
      </c>
      <c r="L467" s="13">
        <v>8470000</v>
      </c>
      <c r="M467" s="30">
        <f>L467</f>
        <v>8470000</v>
      </c>
      <c r="N467" s="23"/>
      <c r="O467" s="7"/>
      <c r="P467" s="7"/>
      <c r="Q467" s="7"/>
      <c r="R467" s="7">
        <f>M467</f>
        <v>8470000</v>
      </c>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c r="BB467" s="7"/>
      <c r="BC467" s="7"/>
      <c r="BD467" s="7"/>
      <c r="BE467" s="7"/>
      <c r="BF467" s="7"/>
      <c r="BG467" s="7"/>
      <c r="BH467" s="7"/>
      <c r="BI467" s="7"/>
      <c r="BJ467" s="7"/>
      <c r="BK467" s="7"/>
      <c r="BL467" s="7"/>
      <c r="BM467" s="7"/>
      <c r="BN467" s="7"/>
      <c r="BO467" s="7"/>
      <c r="BP467" s="2"/>
      <c r="BQ467" s="2"/>
      <c r="BR467" s="25"/>
      <c r="BS467" s="2"/>
      <c r="BT467" s="14">
        <f t="shared" si="26"/>
        <v>8470000</v>
      </c>
      <c r="BU467" s="2" t="str">
        <f t="shared" si="23"/>
        <v>OK</v>
      </c>
      <c r="BV467" s="13">
        <f t="shared" si="24"/>
        <v>0</v>
      </c>
    </row>
    <row r="468" spans="1:74" hidden="1" x14ac:dyDescent="0.25">
      <c r="D468" s="4"/>
      <c r="K468" s="18"/>
      <c r="L468" s="19">
        <f>SUM(L4:L467)</f>
        <v>3208235281.3520012</v>
      </c>
      <c r="M468" s="19">
        <f>SUM(M4:M467)</f>
        <v>1333012407.6579995</v>
      </c>
      <c r="BT468" s="19">
        <f>SUM(BT4:BT467)</f>
        <v>1329821155.5052993</v>
      </c>
      <c r="BU468" s="1" t="str">
        <f t="shared" ref="BU468" si="27">IF(M468=BT468,"OK","CORRIGIR")</f>
        <v>CORRIGIR</v>
      </c>
      <c r="BV468" s="20">
        <f t="shared" ref="BV468" si="28">M468-BT468</f>
        <v>3191252.1527001858</v>
      </c>
    </row>
    <row r="469" spans="1:74" x14ac:dyDescent="0.25">
      <c r="A469" s="9"/>
      <c r="K469" s="18"/>
    </row>
    <row r="470" spans="1:74" x14ac:dyDescent="0.25">
      <c r="K470" s="18"/>
    </row>
    <row r="471" spans="1:74" x14ac:dyDescent="0.25">
      <c r="K471" s="18"/>
    </row>
    <row r="472" spans="1:74" x14ac:dyDescent="0.25">
      <c r="K472" s="18"/>
    </row>
    <row r="473" spans="1:74" x14ac:dyDescent="0.25">
      <c r="K473" s="18"/>
    </row>
    <row r="474" spans="1:74" x14ac:dyDescent="0.25">
      <c r="K474" s="18"/>
    </row>
    <row r="475" spans="1:74" x14ac:dyDescent="0.25">
      <c r="K475" s="18"/>
    </row>
    <row r="476" spans="1:74" x14ac:dyDescent="0.25">
      <c r="K476" s="18"/>
    </row>
    <row r="477" spans="1:74" x14ac:dyDescent="0.25">
      <c r="K477" s="18"/>
    </row>
  </sheetData>
  <sheetProtection sort="0" autoFilter="0" pivotTables="0"/>
  <autoFilter ref="A3:BV468" xr:uid="{D4F09A53-5A19-4BD1-AEB3-9F96401621B3}">
    <filterColumn colId="6">
      <filters>
        <filter val="Imóvel - Locação"/>
        <filter val="Inexigibilidade - monopólio"/>
        <filter val="Material de expediente e consumo"/>
        <filter val="Obras e Serviços de Engenharia"/>
        <filter val="Serviço Público - Monopólio"/>
        <filter val="Serviço Público - Monopólio DIOES"/>
        <filter val="Serviços de Engenharia"/>
        <filter val="Serviços Terceirizados - Atendimento Pedagógico Especializado Complementar"/>
        <filter val="Serviços Terceirizados - DEMO"/>
        <filter val="Serviços Terceirizados - Sem DEMO"/>
        <filter val="Serviços Terceirizados - Serviço Bancário"/>
        <filter val="Serviços Terceirizados - TIC"/>
        <filter val="Serviços Terceirizados - Transporte Escolar"/>
        <filter val="Serviços Terceirizados - Vaga em Curso Técnico para Aluno"/>
      </filters>
    </filterColumn>
    <filterColumn colId="7">
      <filters>
        <filter val="Em andamento"/>
        <filter val="Prorrogada"/>
      </filters>
    </filterColumn>
  </autoFilter>
  <sortState xmlns:xlrd2="http://schemas.microsoft.com/office/spreadsheetml/2017/richdata2" ref="A13:BS447">
    <sortCondition ref="G13:G447"/>
    <sortCondition ref="BQ13:BQ447"/>
  </sortState>
  <mergeCells count="2">
    <mergeCell ref="A1:BS1"/>
    <mergeCell ref="A2:BS2"/>
  </mergeCells>
  <conditionalFormatting sqref="D254">
    <cfRule type="duplicateValues" dxfId="0" priority="1"/>
  </conditionalFormatting>
  <conditionalFormatting sqref="E463">
    <cfRule type="expression" priority="4">
      <formula>L464:L939&gt;M464:M939</formula>
    </cfRule>
  </conditionalFormatting>
  <conditionalFormatting sqref="M3:M13 M15 M217:M218 M220:M221 M227:M229 M231:M241 M244:M249">
    <cfRule type="expression" priority="5">
      <formula>L4:L443&gt;M4:M443</formula>
    </cfRule>
  </conditionalFormatting>
  <conditionalFormatting sqref="M14 M201 M204 M206:M210 M215:M216 M268:M269 M271:M283 M286:M303">
    <cfRule type="expression" priority="15">
      <formula>L15:L453&gt;M15:M453</formula>
    </cfRule>
  </conditionalFormatting>
  <conditionalFormatting sqref="M16">
    <cfRule type="expression" priority="12">
      <formula>L17:L461&gt;M17:M461</formula>
    </cfRule>
  </conditionalFormatting>
  <conditionalFormatting sqref="M17">
    <cfRule type="expression" priority="13">
      <formula>L18:L461&gt;M18:M461</formula>
    </cfRule>
  </conditionalFormatting>
  <conditionalFormatting sqref="M18:M27">
    <cfRule type="expression" priority="16">
      <formula>L19:L461&gt;M19:M461</formula>
    </cfRule>
  </conditionalFormatting>
  <conditionalFormatting sqref="M28:M59">
    <cfRule type="expression" priority="17">
      <formula>L29:L462&gt;M29:M462</formula>
    </cfRule>
  </conditionalFormatting>
  <conditionalFormatting sqref="M60:M68 M70:M83">
    <cfRule type="expression" priority="9">
      <formula>L61:L495&gt;M61:M495</formula>
    </cfRule>
  </conditionalFormatting>
  <conditionalFormatting sqref="M84:M124">
    <cfRule type="expression" priority="8">
      <formula>L85:L520&gt;M85:M520</formula>
    </cfRule>
  </conditionalFormatting>
  <conditionalFormatting sqref="M125:M134 M136 M138:M139 M145:M146 M148:M152 M154:M167 M169:M179 M330:M332">
    <cfRule type="expression" priority="14">
      <formula>L126:L562&gt;M126:M562</formula>
    </cfRule>
  </conditionalFormatting>
  <conditionalFormatting sqref="M180 M187 M193:M196 M198:M200 M306:M310 M312:M321 M323:M327 M333:M343 M346 M348:M350 M354:M359 M361:M366 M371 M376 M388:M389 M391:M392 M394 M396:M397 M399:M400 M403:M404">
    <cfRule type="expression" priority="6">
      <formula>L181:L618&gt;M181:M618</formula>
    </cfRule>
  </conditionalFormatting>
  <conditionalFormatting sqref="M304">
    <cfRule type="expression" priority="10">
      <formula>L306:L743&gt;M306:M743</formula>
    </cfRule>
  </conditionalFormatting>
  <conditionalFormatting sqref="M328 M402">
    <cfRule type="expression" priority="18">
      <formula>L330:L766&gt;M330:M766</formula>
    </cfRule>
  </conditionalFormatting>
  <conditionalFormatting sqref="M407:M409 M411:M424 M427:M434 M438:M441 M443 M446">
    <cfRule type="expression" priority="7">
      <formula>L408:L845&gt;M408:M845</formula>
    </cfRule>
  </conditionalFormatting>
  <conditionalFormatting sqref="M425">
    <cfRule type="expression" priority="11">
      <formula>L426:L885&gt;M426:M885</formula>
    </cfRule>
  </conditionalFormatting>
  <conditionalFormatting sqref="M467 M469:M1048059">
    <cfRule type="expression" priority="2">
      <formula>L468:L943&gt;M468:M943</formula>
    </cfRule>
  </conditionalFormatting>
  <conditionalFormatting sqref="M1048060:M1048576">
    <cfRule type="expression" priority="3">
      <formula>L3:L1048061&gt;M3:M1048061</formula>
    </cfRule>
  </conditionalFormatting>
  <pageMargins left="0.51181102362204722" right="0.51181102362204722" top="0.78740157480314965" bottom="0.78740157480314965" header="0.31496062992125984" footer="0.31496062992125984"/>
  <pageSetup paperSize="8" scale="85" orientation="landscape" r:id="rId1"/>
  <colBreaks count="1" manualBreakCount="1">
    <brk id="7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DDA92-B9A3-480D-999E-4C27E2B39C25}">
  <dimension ref="A1:BV9"/>
  <sheetViews>
    <sheetView showGridLines="0" tabSelected="1" view="pageBreakPreview" topLeftCell="C1" zoomScale="120" zoomScaleNormal="110" zoomScaleSheetLayoutView="120" workbookViewId="0">
      <selection sqref="A1:BS8"/>
    </sheetView>
  </sheetViews>
  <sheetFormatPr defaultColWidth="14.42578125" defaultRowHeight="11.25" x14ac:dyDescent="0.25"/>
  <cols>
    <col min="1" max="1" width="20" style="4" customWidth="1"/>
    <col min="2" max="2" width="0.140625" style="4" hidden="1" customWidth="1"/>
    <col min="3" max="3" width="12.5703125" style="4" customWidth="1"/>
    <col min="4" max="4" width="30.42578125" style="35" bestFit="1" customWidth="1"/>
    <col min="5" max="5" width="17.42578125" style="4" hidden="1" customWidth="1"/>
    <col min="6" max="8" width="15.7109375" style="4" customWidth="1"/>
    <col min="9" max="9" width="12.28515625" style="4" customWidth="1"/>
    <col min="10" max="10" width="12.7109375" style="4" customWidth="1"/>
    <col min="11" max="11" width="14" style="4" customWidth="1"/>
    <col min="12" max="12" width="15.5703125" style="10" customWidth="1"/>
    <col min="13" max="13" width="19.5703125" style="10" customWidth="1"/>
    <col min="14" max="14" width="21.5703125" style="4" customWidth="1"/>
    <col min="15" max="67" width="21.5703125" style="10" hidden="1" customWidth="1"/>
    <col min="68" max="68" width="15.28515625" style="4" hidden="1" customWidth="1"/>
    <col min="69" max="69" width="14.42578125" style="4" customWidth="1"/>
    <col min="70" max="70" width="15" style="4" hidden="1" customWidth="1"/>
    <col min="71" max="71" width="14.42578125" style="4" customWidth="1"/>
    <col min="72" max="72" width="17" style="4" hidden="1" customWidth="1"/>
    <col min="73" max="73" width="14.42578125" style="4" hidden="1" customWidth="1"/>
    <col min="74" max="74" width="15.7109375" style="4" hidden="1" customWidth="1"/>
    <col min="75" max="16384" width="14.42578125" style="4"/>
  </cols>
  <sheetData>
    <row r="1" spans="1:74" ht="42" customHeight="1" x14ac:dyDescent="0.25">
      <c r="A1" s="115" t="s">
        <v>1818</v>
      </c>
      <c r="B1" s="115"/>
      <c r="C1" s="115"/>
      <c r="D1" s="115"/>
      <c r="E1" s="115"/>
      <c r="F1" s="115"/>
      <c r="G1" s="115"/>
      <c r="H1" s="115"/>
      <c r="I1" s="115"/>
      <c r="J1" s="115"/>
      <c r="K1" s="115"/>
      <c r="L1" s="119"/>
      <c r="M1" s="119"/>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row>
    <row r="2" spans="1:74" ht="18" x14ac:dyDescent="0.25">
      <c r="A2" s="120" t="s">
        <v>2171</v>
      </c>
      <c r="B2" s="121"/>
      <c r="C2" s="120"/>
      <c r="D2" s="122"/>
      <c r="E2" s="123"/>
      <c r="F2" s="120"/>
      <c r="G2" s="120"/>
      <c r="H2" s="120"/>
      <c r="I2" s="120"/>
      <c r="J2" s="120"/>
      <c r="K2" s="120"/>
      <c r="L2" s="124"/>
      <c r="M2" s="124"/>
      <c r="N2" s="120"/>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5"/>
      <c r="BQ2" s="120"/>
      <c r="BR2" s="123"/>
      <c r="BS2" s="120"/>
    </row>
    <row r="3" spans="1:74" s="37" customFormat="1" ht="157.5" x14ac:dyDescent="0.25">
      <c r="A3" s="103" t="s">
        <v>1149</v>
      </c>
      <c r="B3" s="104" t="s">
        <v>0</v>
      </c>
      <c r="C3" s="103" t="s">
        <v>1150</v>
      </c>
      <c r="D3" s="105" t="s">
        <v>1</v>
      </c>
      <c r="E3" s="106" t="s">
        <v>2</v>
      </c>
      <c r="F3" s="103" t="s">
        <v>3</v>
      </c>
      <c r="G3" s="103" t="s">
        <v>1658</v>
      </c>
      <c r="H3" s="103" t="s">
        <v>4</v>
      </c>
      <c r="I3" s="103" t="s">
        <v>5</v>
      </c>
      <c r="J3" s="103" t="s">
        <v>6</v>
      </c>
      <c r="K3" s="103" t="s">
        <v>2151</v>
      </c>
      <c r="L3" s="107" t="s">
        <v>2143</v>
      </c>
      <c r="M3" s="107" t="s">
        <v>2144</v>
      </c>
      <c r="N3" s="103" t="s">
        <v>9</v>
      </c>
      <c r="O3" s="108" t="s">
        <v>10</v>
      </c>
      <c r="P3" s="108" t="s">
        <v>1130</v>
      </c>
      <c r="Q3" s="108" t="s">
        <v>1134</v>
      </c>
      <c r="R3" s="108" t="s">
        <v>1135</v>
      </c>
      <c r="S3" s="108" t="s">
        <v>11</v>
      </c>
      <c r="T3" s="108" t="s">
        <v>12</v>
      </c>
      <c r="U3" s="108" t="s">
        <v>13</v>
      </c>
      <c r="V3" s="108" t="s">
        <v>14</v>
      </c>
      <c r="W3" s="108" t="s">
        <v>15</v>
      </c>
      <c r="X3" s="108" t="s">
        <v>16</v>
      </c>
      <c r="Y3" s="108" t="s">
        <v>17</v>
      </c>
      <c r="Z3" s="108" t="s">
        <v>18</v>
      </c>
      <c r="AA3" s="108" t="s">
        <v>19</v>
      </c>
      <c r="AB3" s="108" t="s">
        <v>20</v>
      </c>
      <c r="AC3" s="108" t="s">
        <v>21</v>
      </c>
      <c r="AD3" s="108" t="s">
        <v>22</v>
      </c>
      <c r="AE3" s="108" t="s">
        <v>23</v>
      </c>
      <c r="AF3" s="108" t="s">
        <v>24</v>
      </c>
      <c r="AG3" s="108" t="s">
        <v>25</v>
      </c>
      <c r="AH3" s="108" t="s">
        <v>26</v>
      </c>
      <c r="AI3" s="108" t="s">
        <v>27</v>
      </c>
      <c r="AJ3" s="108" t="s">
        <v>28</v>
      </c>
      <c r="AK3" s="108" t="s">
        <v>29</v>
      </c>
      <c r="AL3" s="108" t="s">
        <v>30</v>
      </c>
      <c r="AM3" s="108" t="s">
        <v>31</v>
      </c>
      <c r="AN3" s="108" t="s">
        <v>32</v>
      </c>
      <c r="AO3" s="108" t="s">
        <v>33</v>
      </c>
      <c r="AP3" s="108" t="s">
        <v>34</v>
      </c>
      <c r="AQ3" s="108" t="s">
        <v>35</v>
      </c>
      <c r="AR3" s="108" t="s">
        <v>36</v>
      </c>
      <c r="AS3" s="108" t="s">
        <v>37</v>
      </c>
      <c r="AT3" s="108" t="s">
        <v>38</v>
      </c>
      <c r="AU3" s="108" t="s">
        <v>39</v>
      </c>
      <c r="AV3" s="108" t="s">
        <v>40</v>
      </c>
      <c r="AW3" s="108" t="s">
        <v>41</v>
      </c>
      <c r="AX3" s="108" t="s">
        <v>42</v>
      </c>
      <c r="AY3" s="108" t="s">
        <v>43</v>
      </c>
      <c r="AZ3" s="108" t="s">
        <v>44</v>
      </c>
      <c r="BA3" s="108" t="s">
        <v>45</v>
      </c>
      <c r="BB3" s="108" t="s">
        <v>46</v>
      </c>
      <c r="BC3" s="108" t="s">
        <v>47</v>
      </c>
      <c r="BD3" s="108" t="s">
        <v>48</v>
      </c>
      <c r="BE3" s="108" t="s">
        <v>49</v>
      </c>
      <c r="BF3" s="108" t="s">
        <v>50</v>
      </c>
      <c r="BG3" s="108" t="s">
        <v>51</v>
      </c>
      <c r="BH3" s="108" t="s">
        <v>52</v>
      </c>
      <c r="BI3" s="108" t="s">
        <v>53</v>
      </c>
      <c r="BJ3" s="108" t="s">
        <v>54</v>
      </c>
      <c r="BK3" s="108" t="s">
        <v>55</v>
      </c>
      <c r="BL3" s="108" t="s">
        <v>56</v>
      </c>
      <c r="BM3" s="108" t="s">
        <v>57</v>
      </c>
      <c r="BN3" s="108" t="s">
        <v>58</v>
      </c>
      <c r="BO3" s="109" t="s">
        <v>59</v>
      </c>
      <c r="BP3" s="103" t="s">
        <v>60</v>
      </c>
      <c r="BQ3" s="103" t="s">
        <v>2145</v>
      </c>
      <c r="BR3" s="103" t="s">
        <v>1151</v>
      </c>
      <c r="BS3" s="103" t="s">
        <v>1696</v>
      </c>
      <c r="BT3" s="4"/>
      <c r="BU3" s="4"/>
      <c r="BV3" s="4"/>
    </row>
    <row r="4" spans="1:74" s="9" customFormat="1" ht="90" x14ac:dyDescent="0.25">
      <c r="A4" s="2" t="s">
        <v>2160</v>
      </c>
      <c r="B4" s="2"/>
      <c r="C4" s="2" t="s">
        <v>379</v>
      </c>
      <c r="D4" s="12" t="s">
        <v>2142</v>
      </c>
      <c r="E4" s="2"/>
      <c r="F4" s="2" t="s">
        <v>72</v>
      </c>
      <c r="G4" s="2" t="s">
        <v>1668</v>
      </c>
      <c r="H4" s="2" t="s">
        <v>77</v>
      </c>
      <c r="I4" s="23" t="s">
        <v>1618</v>
      </c>
      <c r="J4" s="23" t="s">
        <v>1618</v>
      </c>
      <c r="K4" s="2" t="s">
        <v>384</v>
      </c>
      <c r="L4" s="7">
        <v>13923993.939999999</v>
      </c>
      <c r="M4" s="7">
        <v>100000</v>
      </c>
      <c r="N4" s="110" t="s">
        <v>2146</v>
      </c>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8"/>
      <c r="BQ4" s="8">
        <v>46869</v>
      </c>
      <c r="BR4" s="2"/>
      <c r="BS4" s="2" t="s">
        <v>2147</v>
      </c>
      <c r="BT4" s="14">
        <f>SUM(O4:BO4)</f>
        <v>0</v>
      </c>
      <c r="BU4" s="2" t="str">
        <f>IF(M4=BT4,"OK","CORRIGIR")</f>
        <v>CORRIGIR</v>
      </c>
      <c r="BV4" s="13">
        <f>M4-BT4</f>
        <v>100000</v>
      </c>
    </row>
    <row r="5" spans="1:74" s="9" customFormat="1" ht="90" x14ac:dyDescent="0.25">
      <c r="A5" s="2" t="s">
        <v>2161</v>
      </c>
      <c r="B5" s="3"/>
      <c r="C5" s="2" t="s">
        <v>379</v>
      </c>
      <c r="D5" s="34" t="s">
        <v>2148</v>
      </c>
      <c r="E5" s="2"/>
      <c r="F5" s="2" t="s">
        <v>72</v>
      </c>
      <c r="G5" s="2" t="s">
        <v>1668</v>
      </c>
      <c r="H5" s="2" t="s">
        <v>77</v>
      </c>
      <c r="I5" s="2" t="s">
        <v>1618</v>
      </c>
      <c r="J5" s="2" t="s">
        <v>1618</v>
      </c>
      <c r="K5" s="2" t="s">
        <v>384</v>
      </c>
      <c r="L5" s="17">
        <v>11560519.199999999</v>
      </c>
      <c r="M5" s="17">
        <v>100000</v>
      </c>
      <c r="N5" s="110" t="s">
        <v>2149</v>
      </c>
      <c r="O5" s="7"/>
      <c r="P5" s="7"/>
      <c r="Q5" s="7"/>
      <c r="R5" s="7"/>
      <c r="S5" s="7"/>
      <c r="T5" s="7"/>
      <c r="U5" s="7"/>
      <c r="V5" s="28"/>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8"/>
      <c r="BQ5" s="8">
        <v>46426</v>
      </c>
      <c r="BR5" s="2"/>
      <c r="BS5" s="2" t="s">
        <v>2147</v>
      </c>
      <c r="BT5" s="14">
        <f t="shared" ref="BT5" si="0">SUM(O5:BO5)</f>
        <v>0</v>
      </c>
      <c r="BU5" s="2" t="str">
        <f t="shared" ref="BU5" si="1">IF(M5=BT5,"OK","CORRIGIR")</f>
        <v>CORRIGIR</v>
      </c>
      <c r="BV5" s="13">
        <f t="shared" ref="BV5" si="2">M5-BT5</f>
        <v>100000</v>
      </c>
    </row>
    <row r="6" spans="1:74" s="9" customFormat="1" ht="90" x14ac:dyDescent="0.25">
      <c r="A6" s="2" t="s">
        <v>2162</v>
      </c>
      <c r="B6" s="2"/>
      <c r="C6" s="2" t="s">
        <v>379</v>
      </c>
      <c r="D6" s="12" t="s">
        <v>2150</v>
      </c>
      <c r="E6" s="2"/>
      <c r="F6" s="2" t="s">
        <v>72</v>
      </c>
      <c r="G6" s="2" t="s">
        <v>1668</v>
      </c>
      <c r="H6" s="2" t="s">
        <v>77</v>
      </c>
      <c r="I6" s="2" t="s">
        <v>1618</v>
      </c>
      <c r="J6" s="2" t="s">
        <v>1618</v>
      </c>
      <c r="K6" s="2" t="s">
        <v>384</v>
      </c>
      <c r="L6" s="22">
        <v>9602766.7699999996</v>
      </c>
      <c r="M6" s="7">
        <v>1423130.04</v>
      </c>
      <c r="N6" s="23">
        <v>331673</v>
      </c>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8"/>
      <c r="BQ6" s="8">
        <v>46371</v>
      </c>
      <c r="BR6" s="2"/>
      <c r="BS6" s="2" t="s">
        <v>2147</v>
      </c>
      <c r="BT6" s="14">
        <f t="shared" ref="BT6" si="3">SUM(O6:BO6)</f>
        <v>0</v>
      </c>
      <c r="BU6" s="2" t="str">
        <f t="shared" ref="BU6" si="4">IF(M6=BT6,"OK","CORRIGIR")</f>
        <v>CORRIGIR</v>
      </c>
      <c r="BV6" s="13">
        <f t="shared" ref="BV6" si="5">M6-BT6</f>
        <v>1423130.04</v>
      </c>
    </row>
    <row r="7" spans="1:74" s="9" customFormat="1" ht="101.25" x14ac:dyDescent="0.25">
      <c r="A7" s="2" t="s">
        <v>2166</v>
      </c>
      <c r="B7" s="3"/>
      <c r="C7" s="111" t="s">
        <v>379</v>
      </c>
      <c r="D7" s="112" t="s">
        <v>2163</v>
      </c>
      <c r="E7" s="2"/>
      <c r="F7" s="2" t="s">
        <v>72</v>
      </c>
      <c r="G7" s="2" t="s">
        <v>1668</v>
      </c>
      <c r="H7" s="2" t="s">
        <v>77</v>
      </c>
      <c r="I7" s="2" t="s">
        <v>1618</v>
      </c>
      <c r="J7" s="2" t="s">
        <v>1618</v>
      </c>
      <c r="K7" s="2" t="s">
        <v>384</v>
      </c>
      <c r="L7" s="17">
        <v>18828894.789999999</v>
      </c>
      <c r="M7" s="17">
        <v>100000</v>
      </c>
      <c r="N7" s="110" t="s">
        <v>2146</v>
      </c>
      <c r="O7" s="7"/>
      <c r="P7" s="7"/>
      <c r="Q7" s="7"/>
      <c r="R7" s="7"/>
      <c r="S7" s="7"/>
      <c r="T7" s="7"/>
      <c r="U7" s="7"/>
      <c r="V7" s="28"/>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8"/>
      <c r="BQ7" s="111" t="s">
        <v>2165</v>
      </c>
      <c r="BR7" s="2"/>
      <c r="BS7" s="2" t="s">
        <v>2147</v>
      </c>
      <c r="BT7" s="14"/>
      <c r="BU7" s="2"/>
      <c r="BV7" s="13"/>
    </row>
    <row r="8" spans="1:74" s="9" customFormat="1" ht="90" x14ac:dyDescent="0.25">
      <c r="A8" s="2" t="s">
        <v>2167</v>
      </c>
      <c r="B8" s="2"/>
      <c r="C8" s="111" t="s">
        <v>379</v>
      </c>
      <c r="D8" s="112" t="s">
        <v>2164</v>
      </c>
      <c r="E8" s="2"/>
      <c r="F8" s="2" t="s">
        <v>72</v>
      </c>
      <c r="G8" s="2" t="s">
        <v>1668</v>
      </c>
      <c r="H8" s="2" t="s">
        <v>77</v>
      </c>
      <c r="I8" s="2" t="s">
        <v>1618</v>
      </c>
      <c r="J8" s="2" t="s">
        <v>1618</v>
      </c>
      <c r="K8" s="2" t="s">
        <v>384</v>
      </c>
      <c r="L8" s="22">
        <v>17059159.239999998</v>
      </c>
      <c r="M8" s="7">
        <v>100000</v>
      </c>
      <c r="N8" s="110" t="s">
        <v>2146</v>
      </c>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8"/>
      <c r="BQ8" s="114">
        <v>46580</v>
      </c>
      <c r="BR8" s="2"/>
      <c r="BS8" s="2" t="s">
        <v>2147</v>
      </c>
      <c r="BT8" s="14"/>
      <c r="BU8" s="2"/>
      <c r="BV8" s="13"/>
    </row>
    <row r="9" spans="1:74" x14ac:dyDescent="0.25">
      <c r="D9" s="113"/>
    </row>
  </sheetData>
  <sheetProtection sort="0" autoFilter="0" pivotTables="0"/>
  <autoFilter ref="A3:BV8" xr:uid="{D4F09A53-5A19-4BD1-AEB3-9F96401621B3}"/>
  <mergeCells count="2">
    <mergeCell ref="A1:BS1"/>
    <mergeCell ref="A2:BS2"/>
  </mergeCells>
  <conditionalFormatting sqref="M3:M4">
    <cfRule type="expression" priority="1703">
      <formula>L4:L8&gt;M4:M8</formula>
    </cfRule>
  </conditionalFormatting>
  <conditionalFormatting sqref="M5 M7">
    <cfRule type="expression" priority="1702">
      <formula>L8:L10&gt;M8:M10</formula>
    </cfRule>
  </conditionalFormatting>
  <conditionalFormatting sqref="M6">
    <cfRule type="expression" priority="1">
      <formula>L7:L9&gt;M7:M9</formula>
    </cfRule>
  </conditionalFormatting>
  <conditionalFormatting sqref="M8">
    <cfRule type="expression" priority="1669">
      <formula>L9:L11&gt;M9:M11</formula>
    </cfRule>
  </conditionalFormatting>
  <conditionalFormatting sqref="M9:M1047590">
    <cfRule type="expression" priority="3">
      <formula>L10:L485&gt;M10:M485</formula>
    </cfRule>
  </conditionalFormatting>
  <conditionalFormatting sqref="M1047591:M1048576">
    <cfRule type="expression" priority="4">
      <formula>L1047592:L1048110&gt;M1047592:M1048110</formula>
    </cfRule>
  </conditionalFormatting>
  <pageMargins left="0.51181102362204722" right="0.51181102362204722" top="0.78740157480314965" bottom="0.78740157480314965" header="0.31496062992125984" footer="0.31496062992125984"/>
  <pageSetup paperSize="8" scale="84" orientation="landscape" r:id="rId1"/>
  <colBreaks count="1" manualBreakCount="1">
    <brk id="7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6</vt:i4>
      </vt:variant>
    </vt:vector>
  </HeadingPairs>
  <TitlesOfParts>
    <vt:vector size="9" baseType="lpstr">
      <vt:lpstr>PCA 2025-Novas-V20-04.12</vt:lpstr>
      <vt:lpstr>PCA 2025-And-Prorr-V20-04.12</vt:lpstr>
      <vt:lpstr>PCA 2025-Desc-V20-04.12</vt:lpstr>
      <vt:lpstr>'PCA 2025-And-Prorr-V20-04.12'!Area_de_impressao</vt:lpstr>
      <vt:lpstr>'PCA 2025-Desc-V20-04.12'!Area_de_impressao</vt:lpstr>
      <vt:lpstr>'PCA 2025-Novas-V20-04.12'!Area_de_impressao</vt:lpstr>
      <vt:lpstr>'PCA 2025-And-Prorr-V20-04.12'!Titulos_de_impressao</vt:lpstr>
      <vt:lpstr>'PCA 2025-Desc-V20-04.12'!Titulos_de_impressao</vt:lpstr>
      <vt:lpstr>'PCA 2025-Novas-V20-04.12'!Titulos_de_impressao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 Yoriko Yamamoto</dc:creator>
  <cp:lastModifiedBy>Edilezia Eduardo Santos Alves</cp:lastModifiedBy>
  <cp:lastPrinted>2025-12-04T13:10:44Z</cp:lastPrinted>
  <dcterms:created xsi:type="dcterms:W3CDTF">2024-08-20T21:29:57Z</dcterms:created>
  <dcterms:modified xsi:type="dcterms:W3CDTF">2025-12-04T14:41:46Z</dcterms:modified>
</cp:coreProperties>
</file>