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glima\Desktop\"/>
    </mc:Choice>
  </mc:AlternateContent>
  <xr:revisionPtr revIDLastSave="0" documentId="13_ncr:1_{E63BC7E0-DF51-4C52-9BBA-DCDBB11CEE11}" xr6:coauthVersionLast="46" xr6:coauthVersionMax="46" xr10:uidLastSave="{00000000-0000-0000-0000-000000000000}"/>
  <bookViews>
    <workbookView xWindow="-120" yWindow="-120" windowWidth="29040" windowHeight="15720" tabRatio="810" xr2:uid="{00000000-000D-0000-FFFF-FFFF00000000}"/>
  </bookViews>
  <sheets>
    <sheet name="VEÍCULO" sheetId="11" r:id="rId1"/>
    <sheet name="V41 - MONITOR (4H)" sheetId="16" state="hidden" r:id="rId2"/>
  </sheets>
  <definedNames>
    <definedName name="_xlnm.Print_Area" localSheetId="1">'V41 - MONITOR (4H)'!$A$1:$L$92</definedName>
    <definedName name="_xlnm.Print_Area" localSheetId="0">VEÍCULO!$A$1:$M$96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1" l="1"/>
  <c r="C62" i="16" l="1"/>
  <c r="C61" i="16"/>
  <c r="C58" i="16"/>
  <c r="F53" i="16"/>
  <c r="F51" i="16"/>
  <c r="B49" i="16"/>
  <c r="B41" i="16"/>
  <c r="F39" i="16"/>
  <c r="F37" i="16"/>
  <c r="F45" i="16" s="1"/>
  <c r="F35" i="16"/>
  <c r="F43" i="16" s="1"/>
  <c r="C25" i="16"/>
  <c r="C85" i="16" s="1"/>
  <c r="B25" i="16"/>
  <c r="C84" i="16" s="1"/>
  <c r="F18" i="16"/>
  <c r="E18" i="16"/>
  <c r="D18" i="16"/>
  <c r="C18" i="16"/>
  <c r="I5" i="16" s="1"/>
  <c r="D13" i="16"/>
  <c r="C77" i="16" s="1"/>
  <c r="J9" i="16"/>
  <c r="I9" i="16"/>
  <c r="H9" i="16"/>
  <c r="G9" i="16"/>
  <c r="F9" i="16"/>
  <c r="D9" i="16"/>
  <c r="C9" i="16"/>
  <c r="K5" i="16"/>
  <c r="C79" i="16" s="1"/>
  <c r="J5" i="16"/>
  <c r="G5" i="16"/>
  <c r="F5" i="16"/>
  <c r="E5" i="16"/>
  <c r="D5" i="16"/>
  <c r="C5" i="16"/>
  <c r="E9" i="16" s="1"/>
  <c r="B5" i="16"/>
  <c r="C65" i="11"/>
  <c r="C64" i="11"/>
  <c r="C61" i="11"/>
  <c r="F56" i="11"/>
  <c r="F54" i="11"/>
  <c r="B52" i="11"/>
  <c r="B44" i="11"/>
  <c r="F42" i="11"/>
  <c r="F40" i="11"/>
  <c r="F48" i="11" s="1"/>
  <c r="F38" i="11"/>
  <c r="F46" i="11" s="1"/>
  <c r="F50" i="11" s="1"/>
  <c r="C89" i="11"/>
  <c r="C88" i="11"/>
  <c r="E15" i="11"/>
  <c r="I15" i="11" s="1"/>
  <c r="C81" i="11"/>
  <c r="C83" i="11"/>
  <c r="F14" i="16"/>
  <c r="C14" i="16"/>
  <c r="F55" i="16" l="1"/>
  <c r="F58" i="11"/>
  <c r="F47" i="16"/>
  <c r="E14" i="16"/>
  <c r="G14" i="16"/>
  <c r="F25" i="16"/>
  <c r="C88" i="16" s="1"/>
  <c r="H14" i="16"/>
  <c r="C90" i="11"/>
  <c r="C91" i="11"/>
  <c r="F22" i="11"/>
  <c r="F23" i="11" s="1"/>
  <c r="C92" i="11"/>
  <c r="C13" i="16"/>
  <c r="E14" i="11"/>
  <c r="E20" i="11"/>
  <c r="E21" i="11" s="1"/>
  <c r="F13" i="16"/>
  <c r="H5" i="16"/>
  <c r="G13" i="16"/>
  <c r="H13" i="16"/>
  <c r="D25" i="16"/>
  <c r="E25" i="16"/>
  <c r="C87" i="16" s="1"/>
  <c r="G20" i="11"/>
  <c r="G21" i="11" s="1"/>
  <c r="B9" i="16"/>
  <c r="K9" i="16" s="1"/>
  <c r="G22" i="11"/>
  <c r="G23" i="11" s="1"/>
  <c r="F20" i="11"/>
  <c r="L10" i="11"/>
  <c r="L32" i="11" s="1"/>
  <c r="D22" i="11" l="1"/>
  <c r="D23" i="11" s="1"/>
  <c r="D20" i="11"/>
  <c r="D21" i="11" s="1"/>
  <c r="E19" i="16"/>
  <c r="E20" i="16" s="1"/>
  <c r="I14" i="16"/>
  <c r="E22" i="11"/>
  <c r="E23" i="11" s="1"/>
  <c r="E13" i="16"/>
  <c r="I13" i="16" s="1"/>
  <c r="G28" i="11"/>
  <c r="C86" i="16"/>
  <c r="G25" i="16"/>
  <c r="D19" i="16"/>
  <c r="D20" i="16" s="1"/>
  <c r="C19" i="16"/>
  <c r="I14" i="11"/>
  <c r="F19" i="16"/>
  <c r="F20" i="16" s="1"/>
  <c r="F21" i="11"/>
  <c r="H23" i="11" l="1"/>
  <c r="L36" i="11" s="1"/>
  <c r="H21" i="11"/>
  <c r="E36" i="11" s="1"/>
  <c r="H20" i="11"/>
  <c r="E34" i="11" s="1"/>
  <c r="E32" i="11"/>
  <c r="F29" i="16"/>
  <c r="H22" i="11"/>
  <c r="L34" i="11" s="1"/>
  <c r="C20" i="16"/>
  <c r="G20" i="16" s="1"/>
  <c r="F33" i="16" s="1"/>
  <c r="G19" i="16"/>
  <c r="F3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SEDU</author>
    <author>Felipe Tabuas Patricio</author>
  </authors>
  <commentList>
    <comment ref="J4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Campo calculado de acordo com o coeficiente de consumo de combustível.</t>
        </r>
      </text>
    </comment>
    <comment ref="C8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Depreciação = (valor do veículo - (quantidade de pneus * valor do pneu) * (1 - valor residual %)) / vida útil veículo
</t>
        </r>
      </text>
    </comment>
    <comment ref="D8" authorId="0" shapeId="0" xr:uid="{00000000-0006-0000-0900-000003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Certificado de Registro e Licenciamento de Veículos (CRLV).</t>
        </r>
      </text>
    </comment>
    <comment ref="E8" authorId="0" shapeId="0" xr:uid="{00000000-0006-0000-0900-000004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Seguro de Danos Pessoais Causados por Veículos Automotores de Vias Terrestres(DPVAT).</t>
        </r>
      </text>
    </comment>
    <comment ref="F8" authorId="0" shapeId="0" xr:uid="{00000000-0006-0000-0900-000005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Imposto sobre a Propriedade de Veículos Automotores (IPVA).</t>
        </r>
      </text>
    </comment>
    <comment ref="G8" authorId="0" shapeId="0" xr:uid="{00000000-0006-0000-0900-000006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inspeção e discos do tacógrafo, uma inspeção a cada dois anos.</t>
        </r>
      </text>
    </comment>
    <comment ref="H8" authorId="0" shapeId="0" xr:uid="{00000000-0006-0000-0900-000007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Vistoria do DETRAN realizada em Instituição Técnica Licenciada (ITL), duas vezes ao ano. </t>
        </r>
      </text>
    </comment>
    <comment ref="I8" authorId="0" shapeId="0" xr:uid="{00000000-0006-0000-0900-000008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aparelhos GPS para rastreamento e monitoramento dos veículos.
AINDA NÃO ESTÁ EM USO PELA SEDU</t>
        </r>
      </text>
    </comment>
    <comment ref="J8" authorId="0" shapeId="0" xr:uid="{00000000-0006-0000-0900-000009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seguro dos veículos. Em caso de acidente, cobertura para  tripulação, passageiros e terceiros ou somente para passageiros (APP).</t>
        </r>
      </text>
    </comment>
    <comment ref="K8" authorId="1" shapeId="0" xr:uid="{7B99FFD5-36E8-4685-B947-A0E1175090EF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pintura de faixa horizontal na cor amarela em toda a extensão das partes laterais e traseira da carroçaria, com o dístico ESCOLAR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SEDU</author>
    <author>Felipe Tabuas Patricio</author>
  </authors>
  <commentList>
    <comment ref="I4" authorId="0" shapeId="0" xr:uid="{00000000-0006-0000-0D00-000001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Campo calculado de acordo com o coeficiente de consumo de combustível.</t>
        </r>
      </text>
    </comment>
    <comment ref="B8" authorId="0" shapeId="0" xr:uid="{00000000-0006-0000-0D00-000002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Depreciação = (valor do veículo - (quantidade de pneus * valor do pneu) * (1 - valor residual %)) / vida útil veículo
</t>
        </r>
      </text>
    </comment>
    <comment ref="C8" authorId="0" shapeId="0" xr:uid="{00000000-0006-0000-0D00-000003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Certificado de Registro e Licenciamento de Veículos (CRLV).</t>
        </r>
      </text>
    </comment>
    <comment ref="D8" authorId="0" shapeId="0" xr:uid="{00000000-0006-0000-0D00-000004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Seguro de Danos Pessoais Causados por Veículos Automotores de Vias Terrestres(DPVAT).</t>
        </r>
      </text>
    </comment>
    <comment ref="E8" authorId="0" shapeId="0" xr:uid="{00000000-0006-0000-0D00-000005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Imposto sobre a Propriedade de Veículos Automotores (IPVA).</t>
        </r>
      </text>
    </comment>
    <comment ref="F8" authorId="0" shapeId="0" xr:uid="{00000000-0006-0000-0D00-000006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inspeção e discos do tacógrafo, uma inspeção a cada dois anos.</t>
        </r>
      </text>
    </comment>
    <comment ref="G8" authorId="0" shapeId="0" xr:uid="{00000000-0006-0000-0D00-000007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Vistoria do DETRAN realizada em Instituição Técnica Licenciada (ITL), duas vezes ao ano. </t>
        </r>
      </text>
    </comment>
    <comment ref="H8" authorId="0" shapeId="0" xr:uid="{00000000-0006-0000-0D00-000008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aparelhos GPS para rastreamento e monitoramento dos veículos.
AINDA NÃO ESTÁ EM USO PELA SEDU</t>
        </r>
      </text>
    </comment>
    <comment ref="I8" authorId="0" shapeId="0" xr:uid="{00000000-0006-0000-0D00-000009000000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seguro dos veículos. Em caso de acidente, cobertura para  tripulação, passageiros e terceiros ou somente para passageiros (APP).</t>
        </r>
      </text>
    </comment>
    <comment ref="J8" authorId="1" shapeId="0" xr:uid="{A8B7D678-DD74-4DDA-B952-E7662E517362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pintura de faixa horizontal na cor amarela em toda a extensão das partes laterais e traseira da carroçaria, com o dístico ESCOLAR</t>
        </r>
      </text>
    </comment>
  </commentList>
</comments>
</file>

<file path=xl/sharedStrings.xml><?xml version="1.0" encoding="utf-8"?>
<sst xmlns="http://schemas.openxmlformats.org/spreadsheetml/2006/main" count="272" uniqueCount="133">
  <si>
    <t>Tipo
Pneu</t>
  </si>
  <si>
    <t>Valor
Pneu</t>
  </si>
  <si>
    <t>Quantidade
Pneus</t>
  </si>
  <si>
    <t>08 passageiros</t>
  </si>
  <si>
    <t>Plano de Saúde</t>
  </si>
  <si>
    <t>Seguro de Vida</t>
  </si>
  <si>
    <t>Seguro</t>
  </si>
  <si>
    <t>Combustível</t>
  </si>
  <si>
    <t>BDI</t>
  </si>
  <si>
    <t>PIS</t>
  </si>
  <si>
    <t>COFINS</t>
  </si>
  <si>
    <t>ISS</t>
  </si>
  <si>
    <t>Depreciação do veículo</t>
  </si>
  <si>
    <t>CRLV</t>
  </si>
  <si>
    <t>DPVAT</t>
  </si>
  <si>
    <t>IPVA</t>
  </si>
  <si>
    <t>Tacógrafo</t>
  </si>
  <si>
    <t>Vistoria
DETRAN/ITL</t>
  </si>
  <si>
    <t>GPS</t>
  </si>
  <si>
    <t>Lubrificantes</t>
  </si>
  <si>
    <t>Rodagem</t>
  </si>
  <si>
    <t>Manutenção</t>
  </si>
  <si>
    <t>Ticket/Vale Alimentação</t>
  </si>
  <si>
    <t>Monitor</t>
  </si>
  <si>
    <t>INFORMAÇÕES DO VEÍCULO</t>
  </si>
  <si>
    <t>Veículo</t>
  </si>
  <si>
    <t>Valor
Veículo (R$)</t>
  </si>
  <si>
    <t>Valor de Adaptação Acessibilidade</t>
  </si>
  <si>
    <t>Tipo
Combustível</t>
  </si>
  <si>
    <t>Preço do Combustível</t>
  </si>
  <si>
    <t>Consumo Combustível (km/l)</t>
  </si>
  <si>
    <t>Coeficiente
Pavimentado</t>
  </si>
  <si>
    <t>Coeficiente
Não Pavimentado</t>
  </si>
  <si>
    <t>CUSTO FIXO ANUAL VEÍCULO (SEM BDI)</t>
  </si>
  <si>
    <t>Perfil do Veículo</t>
  </si>
  <si>
    <t>Adesivagem Veicular</t>
  </si>
  <si>
    <t>Total
Anual</t>
  </si>
  <si>
    <t>Não Adaptado</t>
  </si>
  <si>
    <t>Adaptado</t>
  </si>
  <si>
    <t>CUSTO FIXO MENSAL PESSOAL (SEM BDI)</t>
  </si>
  <si>
    <t>Colaborador</t>
  </si>
  <si>
    <t>Salário
(R$)</t>
  </si>
  <si>
    <t>Encargos
(%)</t>
  </si>
  <si>
    <t>Encargos
(R$)</t>
  </si>
  <si>
    <t>Total
Mensal</t>
  </si>
  <si>
    <t>Motorista</t>
  </si>
  <si>
    <t>CUSTO VARIÁVEL VEÍCULO/KM (SEM BDI)</t>
  </si>
  <si>
    <t>Coeficiente / Pavimento</t>
  </si>
  <si>
    <t>R$/km</t>
  </si>
  <si>
    <t>Coeficiente Padrão</t>
  </si>
  <si>
    <t>R$/km Pavimentado</t>
  </si>
  <si>
    <t>R$/km Não Pavimentado</t>
  </si>
  <si>
    <t xml:space="preserve">Despesas Administrativa
(% a.m) </t>
  </si>
  <si>
    <t xml:space="preserve">Lucro
(% a.m) </t>
  </si>
  <si>
    <t>Tributação</t>
  </si>
  <si>
    <t>Total
BDI</t>
  </si>
  <si>
    <t>CUSTO REFERENCIAL VEÍCULO NÃO ADAPTADO</t>
  </si>
  <si>
    <t>CUSTO REFERENCIAL VEÍCULO ADAPTADO</t>
  </si>
  <si>
    <t>CUSTO FIXO MENSAL (CF) VEÍCULO NÃO ADAPTADO</t>
  </si>
  <si>
    <t>CUSTO FIXO MENSAL (CF) VEÍCULO ADAPTADO</t>
  </si>
  <si>
    <t>CUSTO VARIÁVEL PAVIMENTADO/KM (CV-PAV)</t>
  </si>
  <si>
    <t>CUSTO VARIÁVEL NÃO PAVIMENTADO/KM (CV-NPAV)</t>
  </si>
  <si>
    <t>CUSTO FIXO</t>
  </si>
  <si>
    <t>CUSTO VARIÁVEL</t>
  </si>
  <si>
    <t>CUSTO TOTAL</t>
  </si>
  <si>
    <t>ESTRUTURA DE CÁLCULO</t>
  </si>
  <si>
    <t>Tipo do Veículo</t>
  </si>
  <si>
    <t>Valor do Veículo:</t>
  </si>
  <si>
    <t>Valor obtido da tabela FIPE. Ano base 2022.</t>
  </si>
  <si>
    <t>Preço do Combustível:</t>
  </si>
  <si>
    <t xml:space="preserve">Preço médio à venda em postos de combustíveis do ES - SEFAZ </t>
  </si>
  <si>
    <t>Preço do Pneu:</t>
  </si>
  <si>
    <t>Valor Residual do Veículo:</t>
  </si>
  <si>
    <t>Depreciação do Veículo:</t>
  </si>
  <si>
    <t>((Valor veículo - número de pneus * valor de pneus) * (1 - valor residual veículo)) / (vida útil do veículo)  Obs: Método linear.</t>
  </si>
  <si>
    <t>CRLV:</t>
  </si>
  <si>
    <t>Certificado de Registro e Licenciamento de Veículos (CRLV).</t>
  </si>
  <si>
    <t>DPVAT:</t>
  </si>
  <si>
    <t>Seguro de Danos Pessoais Causados por Veículos Automotores de Vias Terrestres (DPVAT).</t>
  </si>
  <si>
    <t>IPVA:</t>
  </si>
  <si>
    <t>Imposto sobre a Propriedade de Veículos Automotores (IPVA).</t>
  </si>
  <si>
    <t>Vistoria DETRAN</t>
  </si>
  <si>
    <t xml:space="preserve">Vistoria do DETRAN que pode ser executada por profissional com  registro no Conselho Regional de Engenharia e Agronomia do Estado do Espírito Santo -CREA/ES, ficando neste caso dispensada da obrigação de realização de vistoria em ITL. </t>
  </si>
  <si>
    <t>Tacógrafo:</t>
  </si>
  <si>
    <t>Custo com inspeção e discos do tacógrafo, uma inspeção a cada dois anos.</t>
  </si>
  <si>
    <t>GPS:</t>
  </si>
  <si>
    <t>Contratação de aparelhos GPS para rastreamento e monitoramento dos veículos.</t>
  </si>
  <si>
    <t>Seguro:</t>
  </si>
  <si>
    <t>Contratação de seguro dos veículos. Em caso de acidente, cobertura para  tripulação, passageiros e terceiros ou somente para passageiros (APP).</t>
  </si>
  <si>
    <t>Valor de Adaptação Acessibilidade:</t>
  </si>
  <si>
    <t>Custo com plataforma elevatória veicular, rampa de acesso e/ou cadeira de transbordo mais a mão de obra de instalação</t>
  </si>
  <si>
    <t>Adesivagem veicular:</t>
  </si>
  <si>
    <t>Custo com pintura de faixa horizontal na cor amarela em toda a extensão das partes laterais e traseira da carroçaria, com o dístico ESCOLAR</t>
  </si>
  <si>
    <t>Salário do Motorista:</t>
  </si>
  <si>
    <t>Valor referência - Convenção Coletiva de Trabalho - SETPES.</t>
  </si>
  <si>
    <t>Salário do Monitor:</t>
  </si>
  <si>
    <t>Valor referência - Convenção Coletiva de Trabalho - SETPES ou Piso Mínimo Nacional</t>
  </si>
  <si>
    <t>Ticket/Vale Alimentação:</t>
  </si>
  <si>
    <t>Plano de Saúde:</t>
  </si>
  <si>
    <t>Seguro de Vida:</t>
  </si>
  <si>
    <t>Encargos Trabalhistas e Sociais:</t>
  </si>
  <si>
    <t>Coeficientes de Consumo:</t>
  </si>
  <si>
    <t>Coeficientes de consumo apurados por estudo da Universidade Federal de Minas Gerais - UFMG.</t>
  </si>
  <si>
    <t>Coeficiente Não Pavimentado:</t>
  </si>
  <si>
    <t>Custo com Combustível:</t>
  </si>
  <si>
    <t>Preço do litro de combustível * Fator de consumo combustível * (Quilometragem anual + quilometragem anual da inspeção do tacógrafo).</t>
  </si>
  <si>
    <t>Custo com Lubrificantes:</t>
  </si>
  <si>
    <t>Preço do litro de combustível * Fator de consumo lubrificantes * (Quilometragem anual + quilometragem anual da inspeção do tacógrafo).</t>
  </si>
  <si>
    <t>Custo com Rodagem</t>
  </si>
  <si>
    <t>Preço do pneu * Fator de consumo de pneus * (Quilometragem anual + quilometragem anual da inspeção do tacógrafo).</t>
  </si>
  <si>
    <t>Custo com Manutenção:</t>
  </si>
  <si>
    <t>Preço do veículo * Fator de consumo com manutenção * (Quilometragem anual + quilometragem anual da inspeção do tacógrafo).</t>
  </si>
  <si>
    <t>Despesa Administrativa</t>
  </si>
  <si>
    <t>Lucro:</t>
  </si>
  <si>
    <t>PIS:</t>
  </si>
  <si>
    <t>COFINS:</t>
  </si>
  <si>
    <t>ISS:</t>
  </si>
  <si>
    <t>Total BDI</t>
  </si>
  <si>
    <t>Benefícios e Despesas Indiretas (BDI) = Despesa Administrativa + Lucro + PIS + COFINS + ISS</t>
  </si>
  <si>
    <t>Custo Fixo Mensal:</t>
  </si>
  <si>
    <t>((CF Total Veículo Anual)/12 + (CF Total Motorista + CF Total Monitor)) *(1 + BDI)</t>
  </si>
  <si>
    <t>Custo Variável Pavimentado/km:</t>
  </si>
  <si>
    <t>(Coeficiente(combustível)*Preço(combustível)) + (Coeficiente (Lubrificante) *Preço(combustível)) + (Coeficiente(rodagem)*Preço(pneu)) +(Coeficiente(manutenção)*Preço(veículo))</t>
  </si>
  <si>
    <t>Custo Variável Não Pavimentado/km:</t>
  </si>
  <si>
    <t>((Coeficiente(combustível)*Preço(combustível)) + (Coeficiente (Lubrificante) *Preço(combustível)) + (Coeficiente(rodagem)*Preço(pneu)) +(Coeficiente(manutenção)*Preço(veículo)))*1,35</t>
  </si>
  <si>
    <t>CUSTO ESPECÍFICO</t>
  </si>
  <si>
    <t>CUSTO FIXO MENSAL (CF)</t>
  </si>
  <si>
    <t>((CF Total Pessoal Anual)/12 + (CF Total Motorista + CF Total Monitor)) *(1 + BDI)</t>
  </si>
  <si>
    <t>(Custo Fixo/km) + (Custo Variável/km).</t>
  </si>
  <si>
    <t>PLANILHA DE CUSTO ESPECÍFICO - VEÍCULO PARA 41 PASSAGEIROS - MONITOR (4H)</t>
  </si>
  <si>
    <t>185-R14</t>
  </si>
  <si>
    <t>PLANILHA DE CUSTO - VEÍCULO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</si>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</sst>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00000"/>
    <numFmt numFmtId="169" formatCode="0.0%"/>
    <numFmt numFmtId="170" formatCode="_-* #,##0.000000000000_-;\-* #,##0.000000000000_-;_-* &quot;-&quot;??_-;_-@_-"/>
    <numFmt numFmtId="171" formatCode="_-&quot;R$&quot;\ * #,##0.00000_-;\-&quot;R$&quot;\ * #,##0.00000_-;_-&quot;R$&quot;\ * &quot;-&quot;??_-;_-@_-"/>
    <numFmt numFmtId="172" formatCode="&quot;R$&quot;\ #,##0.00000000"/>
    <numFmt numFmtId="173" formatCode="_-&quot;R$&quot;\ * #,##0.00000_-;\-&quot;R$&quot;\ * #,##0.00000_-;_-&quot;R$&quot;\ * &quot;-&quot;???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theme="8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7" fontId="0" fillId="0" borderId="1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70" fontId="0" fillId="0" borderId="0" xfId="3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5" borderId="1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169" fontId="0" fillId="0" borderId="0" xfId="2" applyNumberFormat="1" applyFont="1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169" fontId="0" fillId="0" borderId="0" xfId="2" applyNumberFormat="1" applyFont="1" applyAlignment="1">
      <alignment vertical="center" wrapText="1"/>
    </xf>
    <xf numFmtId="166" fontId="2" fillId="6" borderId="0" xfId="0" applyNumberFormat="1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9" fontId="0" fillId="0" borderId="0" xfId="2" applyFont="1" applyAlignment="1">
      <alignment vertical="center" wrapText="1"/>
    </xf>
    <xf numFmtId="166" fontId="2" fillId="6" borderId="0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vertical="center" wrapText="1"/>
    </xf>
    <xf numFmtId="167" fontId="0" fillId="0" borderId="0" xfId="0" applyNumberFormat="1" applyAlignment="1">
      <alignment vertical="center" wrapText="1"/>
    </xf>
    <xf numFmtId="172" fontId="0" fillId="0" borderId="0" xfId="0" applyNumberFormat="1" applyAlignment="1">
      <alignment horizontal="center" vertical="center" wrapText="1"/>
    </xf>
    <xf numFmtId="166" fontId="2" fillId="7" borderId="0" xfId="0" applyNumberFormat="1" applyFont="1" applyFill="1" applyAlignment="1">
      <alignment horizontal="center" vertical="center" wrapText="1"/>
    </xf>
    <xf numFmtId="166" fontId="2" fillId="7" borderId="0" xfId="1" applyNumberFormat="1" applyFont="1" applyFill="1" applyBorder="1" applyAlignment="1">
      <alignment horizontal="center" vertical="center" wrapText="1"/>
    </xf>
    <xf numFmtId="166" fontId="2" fillId="8" borderId="0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10" fontId="0" fillId="0" borderId="4" xfId="0" applyNumberFormat="1" applyBorder="1" applyAlignment="1">
      <alignment horizontal="left" vertical="center"/>
    </xf>
    <xf numFmtId="168" fontId="4" fillId="5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 wrapText="1"/>
    </xf>
    <xf numFmtId="10" fontId="7" fillId="5" borderId="8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 wrapText="1"/>
    </xf>
    <xf numFmtId="173" fontId="0" fillId="0" borderId="0" xfId="0" applyNumberForma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4" applyAlignment="1">
      <alignment vertical="center"/>
    </xf>
    <xf numFmtId="0" fontId="2" fillId="2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0" fontId="0" fillId="0" borderId="0" xfId="0" applyNumberFormat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7" borderId="0" xfId="0" applyFont="1" applyFill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6">
    <cellStyle name="Hiperlink" xfId="4" builtinId="8"/>
    <cellStyle name="Moeda" xfId="1" builtinId="4"/>
    <cellStyle name="Normal" xfId="0" builtinId="0"/>
    <cellStyle name="Normal 2" xfId="5" xr:uid="{00000000-0005-0000-0000-000003000000}"/>
    <cellStyle name="Porcentagem" xfId="2" builtinId="5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ernet.sefaz.es.gov.br/informacoes/combustivel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ternet.sefaz.es.gov.br/informacoes/combustivel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96"/>
  <sheetViews>
    <sheetView showGridLines="0" tabSelected="1" view="pageBreakPreview" zoomScale="90" zoomScaleNormal="100" zoomScaleSheetLayoutView="90" workbookViewId="0">
      <selection activeCell="B5" sqref="B5"/>
    </sheetView>
  </sheetViews>
  <sheetFormatPr defaultColWidth="8.85546875" defaultRowHeight="15" x14ac:dyDescent="0.25"/>
  <cols>
    <col min="1" max="1" width="2.7109375" style="2" customWidth="1"/>
    <col min="2" max="2" width="34.85546875" style="7" bestFit="1" customWidth="1"/>
    <col min="3" max="3" width="21.7109375" style="7" customWidth="1"/>
    <col min="4" max="4" width="13.85546875" style="7" customWidth="1"/>
    <col min="5" max="5" width="16.85546875" style="7" bestFit="1" customWidth="1"/>
    <col min="6" max="6" width="15.7109375" style="7" bestFit="1" customWidth="1"/>
    <col min="7" max="7" width="17.42578125" style="7" customWidth="1"/>
    <col min="8" max="8" width="15.7109375" style="7" bestFit="1" customWidth="1"/>
    <col min="9" max="9" width="14" style="7" customWidth="1"/>
    <col min="10" max="10" width="16.85546875" style="7" bestFit="1" customWidth="1"/>
    <col min="11" max="11" width="17.140625" style="7" customWidth="1"/>
    <col min="12" max="12" width="16.28515625" style="2" customWidth="1"/>
    <col min="13" max="13" width="3.28515625" style="2" customWidth="1"/>
    <col min="14" max="16384" width="8.85546875" style="2"/>
  </cols>
  <sheetData>
    <row r="1" spans="2:12" s="1" customFormat="1" ht="23.25" customHeight="1" x14ac:dyDescent="0.25">
      <c r="B1" s="77" t="s">
        <v>131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s="1" customFormat="1" ht="10.15" customHeight="1" x14ac:dyDescent="0.25">
      <c r="B2" s="8"/>
      <c r="C2" s="8"/>
      <c r="D2" s="8"/>
      <c r="E2" s="8"/>
      <c r="F2" s="8"/>
      <c r="G2" s="8"/>
      <c r="H2" s="8"/>
      <c r="I2" s="8"/>
      <c r="J2" s="8"/>
      <c r="K2" s="8"/>
    </row>
    <row r="3" spans="2:12" s="1" customFormat="1" x14ac:dyDescent="0.25">
      <c r="B3" s="75" t="s">
        <v>24</v>
      </c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2:12" s="1" customFormat="1" ht="45.75" customHeight="1" x14ac:dyDescent="0.25">
      <c r="B4" s="9" t="s">
        <v>25</v>
      </c>
      <c r="C4" s="56" t="s">
        <v>26</v>
      </c>
      <c r="D4" s="56" t="s">
        <v>2</v>
      </c>
      <c r="E4" s="56" t="s">
        <v>0</v>
      </c>
      <c r="F4" s="56" t="s">
        <v>1</v>
      </c>
      <c r="G4" s="56" t="s">
        <v>27</v>
      </c>
      <c r="H4" s="56" t="s">
        <v>28</v>
      </c>
      <c r="I4" s="56" t="s">
        <v>29</v>
      </c>
      <c r="J4" s="56" t="s">
        <v>30</v>
      </c>
      <c r="K4" s="56" t="s">
        <v>31</v>
      </c>
      <c r="L4" s="56" t="s">
        <v>32</v>
      </c>
    </row>
    <row r="5" spans="2:12" s="1" customFormat="1" x14ac:dyDescent="0.25">
      <c r="B5" s="50" t="s">
        <v>3</v>
      </c>
      <c r="C5" s="10">
        <v>0</v>
      </c>
      <c r="D5" s="13">
        <v>0</v>
      </c>
      <c r="E5" s="13" t="s">
        <v>130</v>
      </c>
      <c r="F5" s="11">
        <v>0</v>
      </c>
      <c r="G5" s="11">
        <v>0</v>
      </c>
      <c r="H5" s="10" t="s">
        <v>132</v>
      </c>
      <c r="I5" s="11">
        <v>0</v>
      </c>
      <c r="J5" s="14">
        <v>0</v>
      </c>
      <c r="K5" s="12">
        <v>1</v>
      </c>
      <c r="L5" s="12">
        <v>1.35</v>
      </c>
    </row>
    <row r="6" spans="2:12" s="1" customFormat="1" ht="10.15" customHeight="1" x14ac:dyDescent="0.25">
      <c r="D6" s="15"/>
      <c r="L6" s="16"/>
    </row>
    <row r="7" spans="2:12" s="1" customFormat="1" x14ac:dyDescent="0.25">
      <c r="B7" s="75" t="s">
        <v>33</v>
      </c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2" s="1" customFormat="1" ht="30" customHeight="1" x14ac:dyDescent="0.25">
      <c r="B8" s="56" t="s">
        <v>34</v>
      </c>
      <c r="C8" s="56" t="s">
        <v>12</v>
      </c>
      <c r="D8" s="56" t="s">
        <v>13</v>
      </c>
      <c r="E8" s="56" t="s">
        <v>14</v>
      </c>
      <c r="F8" s="56" t="s">
        <v>15</v>
      </c>
      <c r="G8" s="56" t="s">
        <v>16</v>
      </c>
      <c r="H8" s="56" t="s">
        <v>17</v>
      </c>
      <c r="I8" s="56" t="s">
        <v>18</v>
      </c>
      <c r="J8" s="56" t="s">
        <v>6</v>
      </c>
      <c r="K8" s="56" t="s">
        <v>35</v>
      </c>
      <c r="L8" s="56" t="s">
        <v>36</v>
      </c>
    </row>
    <row r="9" spans="2:12" s="1" customFormat="1" x14ac:dyDescent="0.25">
      <c r="B9" s="53" t="s">
        <v>37</v>
      </c>
      <c r="C9" s="3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17">
        <f>SUM(C9:K9)</f>
        <v>0</v>
      </c>
    </row>
    <row r="10" spans="2:12" s="1" customFormat="1" x14ac:dyDescent="0.25">
      <c r="B10" s="53" t="s">
        <v>38</v>
      </c>
      <c r="C10" s="3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17">
        <f>SUM(C10:K10)</f>
        <v>0</v>
      </c>
    </row>
    <row r="11" spans="2:12" s="1" customFormat="1" ht="10.15" customHeight="1" x14ac:dyDescent="0.25">
      <c r="D11" s="15"/>
      <c r="L11" s="16"/>
    </row>
    <row r="12" spans="2:12" s="1" customFormat="1" ht="15" customHeight="1" x14ac:dyDescent="0.25">
      <c r="B12" s="75" t="s">
        <v>39</v>
      </c>
      <c r="C12" s="76"/>
      <c r="D12" s="76"/>
      <c r="E12" s="76"/>
      <c r="F12" s="76"/>
      <c r="G12" s="76"/>
      <c r="H12" s="76"/>
      <c r="I12" s="76"/>
      <c r="J12"/>
      <c r="K12" s="8"/>
    </row>
    <row r="13" spans="2:12" s="1" customFormat="1" ht="30" x14ac:dyDescent="0.25">
      <c r="B13" s="56" t="s">
        <v>40</v>
      </c>
      <c r="C13" s="56" t="s">
        <v>41</v>
      </c>
      <c r="D13" s="56" t="s">
        <v>42</v>
      </c>
      <c r="E13" s="56" t="s">
        <v>43</v>
      </c>
      <c r="F13" s="56" t="s">
        <v>22</v>
      </c>
      <c r="G13" s="56" t="s">
        <v>4</v>
      </c>
      <c r="H13" s="56" t="s">
        <v>5</v>
      </c>
      <c r="I13" s="56" t="s">
        <v>44</v>
      </c>
    </row>
    <row r="14" spans="2:12" s="1" customFormat="1" x14ac:dyDescent="0.25">
      <c r="B14" s="53" t="s">
        <v>45</v>
      </c>
      <c r="C14" s="19">
        <v>0</v>
      </c>
      <c r="D14" s="20">
        <v>0.59219999999999995</v>
      </c>
      <c r="E14" s="19">
        <f>ROUND((C14)*(D14),2)</f>
        <v>0</v>
      </c>
      <c r="F14" s="4">
        <v>0</v>
      </c>
      <c r="G14" s="4">
        <v>0</v>
      </c>
      <c r="H14" s="4">
        <v>0</v>
      </c>
      <c r="I14" s="17">
        <f>SUM(C14:C14,E14:H14)</f>
        <v>0</v>
      </c>
    </row>
    <row r="15" spans="2:12" s="1" customFormat="1" x14ac:dyDescent="0.25">
      <c r="B15" s="53" t="s">
        <v>23</v>
      </c>
      <c r="C15" s="19">
        <v>0</v>
      </c>
      <c r="D15" s="20">
        <v>0.59219999999999995</v>
      </c>
      <c r="E15" s="19">
        <f>ROUND((C15)*(D15),2)</f>
        <v>0</v>
      </c>
      <c r="F15" s="4">
        <v>0</v>
      </c>
      <c r="G15" s="4">
        <v>0</v>
      </c>
      <c r="H15" s="4">
        <v>0</v>
      </c>
      <c r="I15" s="17">
        <f>SUM(C15:C15,E15:H15)</f>
        <v>0</v>
      </c>
      <c r="K15" s="8"/>
    </row>
    <row r="16" spans="2:12" s="1" customFormat="1" x14ac:dyDescent="0.25">
      <c r="B16" s="8"/>
      <c r="C16" s="8"/>
      <c r="D16" s="8"/>
      <c r="E16" s="8"/>
      <c r="F16" s="31"/>
      <c r="G16" s="8"/>
      <c r="H16" s="8"/>
      <c r="I16" s="31"/>
      <c r="J16" s="8"/>
      <c r="K16" s="8"/>
    </row>
    <row r="17" spans="1:12" s="1" customFormat="1" ht="15" customHeight="1" x14ac:dyDescent="0.25">
      <c r="B17" s="74" t="s">
        <v>46</v>
      </c>
      <c r="C17" s="74"/>
      <c r="D17" s="74"/>
      <c r="E17" s="74"/>
      <c r="F17" s="74"/>
      <c r="G17" s="74"/>
      <c r="H17" s="74"/>
      <c r="I17" s="5"/>
    </row>
    <row r="18" spans="1:12" s="1" customFormat="1" ht="30" customHeight="1" x14ac:dyDescent="0.25">
      <c r="B18" s="56" t="s">
        <v>34</v>
      </c>
      <c r="C18" s="56" t="s">
        <v>47</v>
      </c>
      <c r="D18" s="56" t="s">
        <v>7</v>
      </c>
      <c r="E18" s="56" t="s">
        <v>19</v>
      </c>
      <c r="F18" s="56" t="s">
        <v>20</v>
      </c>
      <c r="G18" s="56" t="s">
        <v>21</v>
      </c>
      <c r="H18" s="56" t="s">
        <v>48</v>
      </c>
    </row>
    <row r="19" spans="1:12" s="1" customFormat="1" x14ac:dyDescent="0.25">
      <c r="B19" s="53"/>
      <c r="C19" s="6" t="s">
        <v>49</v>
      </c>
      <c r="D19" s="6">
        <v>0.32</v>
      </c>
      <c r="E19" s="6">
        <v>0.05</v>
      </c>
      <c r="F19" s="6">
        <v>8.8888888888888907E-5</v>
      </c>
      <c r="G19" s="6">
        <v>3.3333333333333299E-6</v>
      </c>
      <c r="H19" s="49"/>
      <c r="J19" s="5"/>
    </row>
    <row r="20" spans="1:12" s="1" customFormat="1" x14ac:dyDescent="0.25">
      <c r="B20" s="53" t="s">
        <v>37</v>
      </c>
      <c r="C20" s="10" t="s">
        <v>50</v>
      </c>
      <c r="D20" s="10">
        <f>ROUND((D19*I5),2)</f>
        <v>0</v>
      </c>
      <c r="E20" s="10">
        <f>ROUND((I5*E19),2)</f>
        <v>0</v>
      </c>
      <c r="F20" s="10">
        <f>ROUND((F5*F19),2)</f>
        <v>0</v>
      </c>
      <c r="G20" s="10">
        <f>ROUND((G19*C5),2)</f>
        <v>0</v>
      </c>
      <c r="H20" s="17">
        <f>SUM(D20:G20)</f>
        <v>0</v>
      </c>
      <c r="J20" s="5"/>
    </row>
    <row r="21" spans="1:12" s="1" customFormat="1" x14ac:dyDescent="0.25">
      <c r="B21" s="53" t="s">
        <v>37</v>
      </c>
      <c r="C21" s="10" t="s">
        <v>51</v>
      </c>
      <c r="D21" s="10">
        <f>D20*$L$5</f>
        <v>0</v>
      </c>
      <c r="E21" s="10">
        <f>E20*$L$5</f>
        <v>0</v>
      </c>
      <c r="F21" s="10">
        <f>F20*$L$5</f>
        <v>0</v>
      </c>
      <c r="G21" s="10">
        <f>G20*$L$5</f>
        <v>0</v>
      </c>
      <c r="H21" s="17">
        <f>SUM(D21:G21)</f>
        <v>0</v>
      </c>
      <c r="J21" s="31"/>
    </row>
    <row r="22" spans="1:12" s="1" customFormat="1" x14ac:dyDescent="0.25">
      <c r="B22" s="53" t="s">
        <v>38</v>
      </c>
      <c r="C22" s="10" t="s">
        <v>50</v>
      </c>
      <c r="D22" s="10">
        <f>IF(B5="08 passageiros",0,ROUND((D19*I5),2))</f>
        <v>0</v>
      </c>
      <c r="E22" s="10">
        <f>IF(B5="08 passageiros",0,ROUND((I5*E19),2))</f>
        <v>0</v>
      </c>
      <c r="F22" s="10">
        <f>IF(B5="08 passageiros",0,ROUND((F5*F19),2))</f>
        <v>0</v>
      </c>
      <c r="G22" s="10">
        <f>IF(B5="08 passageiros",0,ROUND((G19*(C5+G5)),2))</f>
        <v>0</v>
      </c>
      <c r="H22" s="17">
        <f>SUM(D22:G22)</f>
        <v>0</v>
      </c>
      <c r="I22" s="18"/>
      <c r="J22" s="31"/>
      <c r="K22" s="8"/>
    </row>
    <row r="23" spans="1:12" s="1" customFormat="1" x14ac:dyDescent="0.25">
      <c r="B23" s="53" t="s">
        <v>38</v>
      </c>
      <c r="C23" s="10" t="s">
        <v>51</v>
      </c>
      <c r="D23" s="10">
        <f>D22*$L$5</f>
        <v>0</v>
      </c>
      <c r="E23" s="10">
        <f>E22*$L$5</f>
        <v>0</v>
      </c>
      <c r="F23" s="10">
        <f>F22*$L$5</f>
        <v>0</v>
      </c>
      <c r="G23" s="10">
        <f>G22*$L$5</f>
        <v>0</v>
      </c>
      <c r="H23" s="17">
        <f>SUM(D23:G23)</f>
        <v>0</v>
      </c>
      <c r="I23" s="18"/>
      <c r="J23" s="31"/>
      <c r="K23" s="8"/>
    </row>
    <row r="24" spans="1:12" s="1" customFormat="1" ht="10.15" customHeight="1" x14ac:dyDescent="0.25">
      <c r="B24" s="8"/>
      <c r="C24" s="8"/>
      <c r="D24" s="8"/>
      <c r="E24" s="8"/>
      <c r="F24" s="8"/>
      <c r="G24" s="8"/>
      <c r="H24" s="8"/>
      <c r="I24" s="18"/>
      <c r="J24" s="31"/>
      <c r="K24" s="8"/>
    </row>
    <row r="25" spans="1:12" s="1" customFormat="1" ht="14.25" customHeight="1" x14ac:dyDescent="0.25">
      <c r="B25" s="72" t="s">
        <v>8</v>
      </c>
      <c r="C25" s="72"/>
      <c r="D25" s="72"/>
      <c r="E25" s="72"/>
      <c r="F25" s="72"/>
      <c r="G25" s="72"/>
      <c r="H25" s="8"/>
      <c r="I25" s="18"/>
      <c r="J25" s="8"/>
      <c r="K25" s="8"/>
    </row>
    <row r="26" spans="1:12" s="1" customFormat="1" ht="14.25" customHeight="1" x14ac:dyDescent="0.25">
      <c r="B26" s="72" t="s">
        <v>52</v>
      </c>
      <c r="C26" s="72" t="s">
        <v>53</v>
      </c>
      <c r="D26" s="72" t="s">
        <v>54</v>
      </c>
      <c r="E26" s="72"/>
      <c r="F26" s="72"/>
      <c r="G26" s="72" t="s">
        <v>55</v>
      </c>
      <c r="H26" s="8"/>
      <c r="I26" s="18"/>
      <c r="J26" s="8"/>
      <c r="K26" s="8"/>
    </row>
    <row r="27" spans="1:12" s="1" customFormat="1" x14ac:dyDescent="0.25">
      <c r="B27" s="72"/>
      <c r="C27" s="72"/>
      <c r="D27" s="57" t="s">
        <v>9</v>
      </c>
      <c r="E27" s="57" t="s">
        <v>10</v>
      </c>
      <c r="F27" s="57" t="s">
        <v>11</v>
      </c>
      <c r="G27" s="72"/>
      <c r="H27" s="8"/>
      <c r="I27" s="18"/>
      <c r="J27" s="8"/>
      <c r="K27" s="8"/>
    </row>
    <row r="28" spans="1:12" s="1" customFormat="1" x14ac:dyDescent="0.25">
      <c r="B28" s="51">
        <v>0.05</v>
      </c>
      <c r="C28" s="51">
        <v>7.1999999999999995E-2</v>
      </c>
      <c r="D28" s="51">
        <v>6.4999999999999997E-3</v>
      </c>
      <c r="E28" s="51">
        <v>0.03</v>
      </c>
      <c r="F28" s="51">
        <v>0.05</v>
      </c>
      <c r="G28" s="52">
        <f>(B28+C28+D28+E28+F28)/(1-(D28+E28+F28))</f>
        <v>0.22824302134646965</v>
      </c>
      <c r="H28" s="8"/>
      <c r="I28" s="54"/>
      <c r="J28" s="8"/>
      <c r="K28" s="8"/>
    </row>
    <row r="29" spans="1:12" s="1" customFormat="1" ht="12.75" customHeight="1" x14ac:dyDescent="0.25">
      <c r="B29" s="26"/>
      <c r="C29" s="8"/>
      <c r="D29" s="8"/>
      <c r="E29" s="8"/>
      <c r="F29" s="8"/>
      <c r="G29" s="8"/>
      <c r="H29" s="8"/>
      <c r="I29" s="18"/>
      <c r="J29" s="8"/>
      <c r="K29" s="8"/>
    </row>
    <row r="30" spans="1:12" s="1" customFormat="1" ht="15.75" customHeight="1" thickBot="1" x14ac:dyDescent="0.3">
      <c r="B30" s="78" t="s">
        <v>56</v>
      </c>
      <c r="C30" s="78"/>
      <c r="D30" s="78"/>
      <c r="E30" s="78"/>
      <c r="F30" s="64"/>
      <c r="G30" s="8"/>
      <c r="H30" s="78" t="s">
        <v>57</v>
      </c>
      <c r="I30" s="78"/>
      <c r="J30" s="78"/>
      <c r="K30" s="78"/>
      <c r="L30" s="78"/>
    </row>
    <row r="31" spans="1:12" s="1" customFormat="1" ht="8.25" customHeight="1" x14ac:dyDescent="0.25">
      <c r="B31" s="21"/>
      <c r="C31" s="21"/>
      <c r="D31" s="21"/>
      <c r="E31" s="21"/>
      <c r="F31" s="22"/>
      <c r="G31" s="8"/>
      <c r="H31" s="8"/>
      <c r="I31" s="8"/>
      <c r="J31" s="8"/>
      <c r="K31" s="8"/>
    </row>
    <row r="32" spans="1:12" s="1" customFormat="1" x14ac:dyDescent="0.25">
      <c r="A32" s="59"/>
      <c r="B32" s="63" t="s">
        <v>58</v>
      </c>
      <c r="C32" s="61"/>
      <c r="D32" s="61"/>
      <c r="E32" s="23">
        <f>ROUND((L9/12+(I14+I15))*(1+G28),2)</f>
        <v>0</v>
      </c>
      <c r="H32" s="63" t="s">
        <v>59</v>
      </c>
      <c r="I32" s="61"/>
      <c r="J32" s="61"/>
      <c r="K32" s="61"/>
      <c r="L32" s="23">
        <f>IF(B5="08 passageiros",0,ROUND((L10/12+(I14+I15))*(1+G28),2))</f>
        <v>0</v>
      </c>
    </row>
    <row r="33" spans="1:12" s="1" customFormat="1" ht="10.15" customHeight="1" x14ac:dyDescent="0.25">
      <c r="A33" s="59"/>
      <c r="B33" s="24"/>
      <c r="C33" s="24"/>
      <c r="D33" s="24"/>
      <c r="E33" s="25"/>
      <c r="H33" s="24"/>
      <c r="I33" s="24"/>
      <c r="J33" s="24"/>
      <c r="K33" s="24"/>
      <c r="L33" s="25"/>
    </row>
    <row r="34" spans="1:12" s="1" customFormat="1" ht="15" customHeight="1" x14ac:dyDescent="0.25">
      <c r="A34" s="59"/>
      <c r="B34" s="63" t="s">
        <v>60</v>
      </c>
      <c r="C34" s="61"/>
      <c r="D34" s="61"/>
      <c r="E34" s="23">
        <f>ROUND(H20*(1+(B28+C28))/ (1-(D28+E28+F28)),2)</f>
        <v>0</v>
      </c>
      <c r="H34" s="79" t="s">
        <v>60</v>
      </c>
      <c r="I34" s="79"/>
      <c r="J34" s="79"/>
      <c r="K34" s="79"/>
      <c r="L34" s="23">
        <f>ROUND(H22*(1+G28),2)</f>
        <v>0</v>
      </c>
    </row>
    <row r="35" spans="1:12" s="1" customFormat="1" ht="10.15" customHeight="1" x14ac:dyDescent="0.25">
      <c r="A35" s="2"/>
      <c r="B35" s="2"/>
      <c r="C35" s="2"/>
      <c r="D35" s="2"/>
      <c r="E35" s="22"/>
      <c r="H35" s="2"/>
      <c r="I35" s="2"/>
      <c r="J35" s="2"/>
      <c r="K35" s="24"/>
      <c r="L35" s="22"/>
    </row>
    <row r="36" spans="1:12" s="1" customFormat="1" ht="15" customHeight="1" x14ac:dyDescent="0.25">
      <c r="A36" s="59"/>
      <c r="B36" s="63" t="s">
        <v>61</v>
      </c>
      <c r="C36" s="61"/>
      <c r="D36" s="61"/>
      <c r="E36" s="23">
        <f>ROUND(H21*(1+(B28+C28))/ (1-(D28+E28+F28)),2)</f>
        <v>0</v>
      </c>
      <c r="H36" s="79" t="s">
        <v>61</v>
      </c>
      <c r="I36" s="79"/>
      <c r="J36" s="79"/>
      <c r="K36" s="79"/>
      <c r="L36" s="23">
        <f>ROUND(H23*(1+G28),2)</f>
        <v>0</v>
      </c>
    </row>
    <row r="37" spans="1:12" ht="8.25" hidden="1" customHeight="1" x14ac:dyDescent="0.25">
      <c r="B37" s="24"/>
      <c r="C37" s="24"/>
      <c r="D37" s="24"/>
      <c r="E37" s="24"/>
      <c r="F37" s="22"/>
      <c r="J37" s="29"/>
    </row>
    <row r="38" spans="1:12" ht="15" hidden="1" customHeight="1" x14ac:dyDescent="0.25">
      <c r="B38" s="73" t="s">
        <v>62</v>
      </c>
      <c r="C38" s="73"/>
      <c r="D38" s="73"/>
      <c r="E38" s="73"/>
      <c r="F38" s="30" t="e">
        <f>#REF!*#REF!</f>
        <v>#REF!</v>
      </c>
      <c r="G38" s="31"/>
      <c r="H38" s="31"/>
      <c r="I38" s="31"/>
      <c r="J38" s="31"/>
      <c r="K38" s="31"/>
    </row>
    <row r="39" spans="1:12" hidden="1" x14ac:dyDescent="0.25">
      <c r="B39" s="24"/>
      <c r="C39" s="24"/>
      <c r="D39" s="24"/>
      <c r="E39" s="24"/>
      <c r="F39" s="22"/>
      <c r="H39" s="32"/>
      <c r="I39" s="32"/>
      <c r="J39" s="32"/>
      <c r="K39" s="32"/>
    </row>
    <row r="40" spans="1:12" ht="15" hidden="1" customHeight="1" x14ac:dyDescent="0.25">
      <c r="B40" s="73" t="s">
        <v>63</v>
      </c>
      <c r="C40" s="73"/>
      <c r="D40" s="73"/>
      <c r="E40" s="73"/>
      <c r="F40" s="33" t="e">
        <f>#REF!*#REF!</f>
        <v>#REF!</v>
      </c>
      <c r="G40" s="34"/>
      <c r="H40" s="35"/>
      <c r="I40" s="35"/>
    </row>
    <row r="41" spans="1:12" hidden="1" x14ac:dyDescent="0.25">
      <c r="B41" s="24"/>
      <c r="C41" s="24"/>
      <c r="D41" s="24"/>
      <c r="E41" s="24"/>
      <c r="F41" s="22"/>
      <c r="G41" s="8"/>
      <c r="H41" s="8"/>
      <c r="I41" s="8"/>
      <c r="J41" s="8"/>
      <c r="K41" s="8"/>
    </row>
    <row r="42" spans="1:12" ht="15" hidden="1" customHeight="1" x14ac:dyDescent="0.25">
      <c r="B42" s="73" t="s">
        <v>64</v>
      </c>
      <c r="C42" s="73"/>
      <c r="D42" s="73"/>
      <c r="E42" s="73"/>
      <c r="F42" s="30" t="e">
        <f>F38+F40</f>
        <v>#REF!</v>
      </c>
      <c r="G42" s="36"/>
      <c r="H42" s="31"/>
      <c r="I42" s="31"/>
      <c r="J42" s="31"/>
      <c r="K42" s="31"/>
    </row>
    <row r="43" spans="1:12" ht="15" hidden="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ht="15.75" hidden="1" thickBot="1" x14ac:dyDescent="0.3">
      <c r="B44" s="69" t="str">
        <f>"CUSTO MENSAL"</f>
        <v>CUSTO MENSAL</v>
      </c>
      <c r="C44" s="69"/>
      <c r="D44" s="69"/>
      <c r="E44" s="69"/>
      <c r="F44" s="69"/>
      <c r="J44" s="29"/>
    </row>
    <row r="45" spans="1:12" ht="8.25" hidden="1" customHeight="1" x14ac:dyDescent="0.25">
      <c r="B45" s="24"/>
      <c r="C45" s="24"/>
      <c r="D45" s="24"/>
      <c r="E45" s="24"/>
      <c r="F45" s="22"/>
      <c r="J45" s="29"/>
    </row>
    <row r="46" spans="1:12" ht="15" hidden="1" customHeight="1" x14ac:dyDescent="0.25">
      <c r="B46" s="68" t="s">
        <v>62</v>
      </c>
      <c r="C46" s="68"/>
      <c r="D46" s="68"/>
      <c r="E46" s="68"/>
      <c r="F46" s="37" t="e">
        <f>F38*#REF!</f>
        <v>#REF!</v>
      </c>
      <c r="G46" s="31"/>
      <c r="H46" s="31"/>
      <c r="I46" s="31"/>
      <c r="J46" s="31"/>
      <c r="K46" s="31"/>
    </row>
    <row r="47" spans="1:12" hidden="1" x14ac:dyDescent="0.25">
      <c r="B47" s="24"/>
      <c r="C47" s="24"/>
      <c r="D47" s="24"/>
      <c r="E47" s="24"/>
      <c r="F47" s="22"/>
      <c r="H47" s="32"/>
      <c r="I47" s="32"/>
      <c r="J47" s="32"/>
      <c r="K47" s="32"/>
    </row>
    <row r="48" spans="1:12" ht="15" hidden="1" customHeight="1" x14ac:dyDescent="0.25">
      <c r="B48" s="68" t="s">
        <v>63</v>
      </c>
      <c r="C48" s="68"/>
      <c r="D48" s="68"/>
      <c r="E48" s="68"/>
      <c r="F48" s="38" t="e">
        <f>F40*#REF!</f>
        <v>#REF!</v>
      </c>
      <c r="G48" s="34"/>
      <c r="H48" s="35"/>
      <c r="I48" s="35"/>
    </row>
    <row r="49" spans="1:11" hidden="1" x14ac:dyDescent="0.25">
      <c r="B49" s="24"/>
      <c r="C49" s="24"/>
      <c r="D49" s="24"/>
      <c r="E49" s="24"/>
      <c r="F49" s="22"/>
      <c r="G49" s="8"/>
      <c r="H49" s="8"/>
      <c r="I49" s="8"/>
      <c r="J49" s="8"/>
      <c r="K49" s="8"/>
    </row>
    <row r="50" spans="1:11" ht="15" hidden="1" customHeight="1" x14ac:dyDescent="0.25">
      <c r="B50" s="68" t="s">
        <v>64</v>
      </c>
      <c r="C50" s="68"/>
      <c r="D50" s="68"/>
      <c r="E50" s="68"/>
      <c r="F50" s="37" t="e">
        <f>F46+F48</f>
        <v>#REF!</v>
      </c>
      <c r="G50" s="31"/>
      <c r="H50" s="27"/>
      <c r="I50" s="31"/>
      <c r="J50" s="31"/>
      <c r="K50" s="31"/>
    </row>
    <row r="51" spans="1:11" hidden="1" x14ac:dyDescent="0.25">
      <c r="B51" s="24"/>
      <c r="C51" s="24"/>
      <c r="D51" s="24"/>
      <c r="E51" s="24"/>
      <c r="F51" s="22"/>
      <c r="H51" s="32"/>
      <c r="I51" s="32"/>
      <c r="J51" s="32"/>
      <c r="K51" s="32"/>
    </row>
    <row r="52" spans="1:11" ht="15.75" hidden="1" thickBot="1" x14ac:dyDescent="0.3">
      <c r="B52" s="69" t="e">
        <f>"CUSTO ANUAL* (" &amp;#REF! &amp; " DIAS LETIVOS)"</f>
        <v>#REF!</v>
      </c>
      <c r="C52" s="69"/>
      <c r="D52" s="69"/>
      <c r="E52" s="69"/>
      <c r="F52" s="69"/>
      <c r="J52" s="29"/>
    </row>
    <row r="53" spans="1:11" ht="8.25" hidden="1" customHeight="1" x14ac:dyDescent="0.25">
      <c r="B53" s="24"/>
      <c r="C53" s="24"/>
      <c r="D53" s="24"/>
      <c r="E53" s="24"/>
      <c r="F53" s="22"/>
      <c r="J53" s="29"/>
    </row>
    <row r="54" spans="1:11" ht="15" hidden="1" customHeight="1" x14ac:dyDescent="0.25">
      <c r="B54" s="70" t="s">
        <v>62</v>
      </c>
      <c r="C54" s="70"/>
      <c r="D54" s="70"/>
      <c r="E54" s="70"/>
      <c r="F54" s="39" t="e">
        <f>#REF!*#REF!*#REF!</f>
        <v>#REF!</v>
      </c>
      <c r="G54" s="34"/>
      <c r="H54" s="35"/>
      <c r="I54" s="35"/>
    </row>
    <row r="55" spans="1:11" hidden="1" x14ac:dyDescent="0.25">
      <c r="B55" s="24"/>
      <c r="C55" s="24"/>
      <c r="D55" s="24"/>
      <c r="E55" s="24"/>
      <c r="F55" s="22"/>
      <c r="H55" s="32"/>
      <c r="I55" s="32"/>
      <c r="J55" s="32"/>
      <c r="K55" s="32"/>
    </row>
    <row r="56" spans="1:11" ht="15" hidden="1" customHeight="1" x14ac:dyDescent="0.25">
      <c r="B56" s="70" t="s">
        <v>63</v>
      </c>
      <c r="C56" s="70"/>
      <c r="D56" s="70"/>
      <c r="E56" s="70"/>
      <c r="F56" s="39" t="e">
        <f>#REF!*#REF!*#REF!</f>
        <v>#REF!</v>
      </c>
      <c r="G56" s="34"/>
      <c r="H56" s="35"/>
      <c r="I56" s="35"/>
    </row>
    <row r="57" spans="1:11" hidden="1" x14ac:dyDescent="0.25">
      <c r="B57" s="24"/>
      <c r="C57" s="24"/>
      <c r="D57" s="24"/>
      <c r="E57" s="24"/>
      <c r="F57" s="22"/>
      <c r="H57" s="32"/>
      <c r="I57" s="32"/>
      <c r="J57" s="32"/>
      <c r="K57" s="32"/>
    </row>
    <row r="58" spans="1:11" ht="15" hidden="1" customHeight="1" x14ac:dyDescent="0.25">
      <c r="B58" s="70" t="s">
        <v>64</v>
      </c>
      <c r="C58" s="70"/>
      <c r="D58" s="70"/>
      <c r="E58" s="70"/>
      <c r="F58" s="39" t="e">
        <f>F54+F56</f>
        <v>#REF!</v>
      </c>
      <c r="G58" s="34"/>
      <c r="H58" s="35"/>
      <c r="I58" s="35"/>
    </row>
    <row r="59" spans="1:11" ht="12" customHeight="1" x14ac:dyDescent="0.25">
      <c r="F59" s="55"/>
      <c r="H59" s="55"/>
    </row>
    <row r="60" spans="1:11" ht="15.75" thickBot="1" x14ac:dyDescent="0.3">
      <c r="B60" s="40" t="s">
        <v>65</v>
      </c>
      <c r="C60" s="40"/>
      <c r="D60" s="40"/>
      <c r="E60" s="40"/>
      <c r="F60" s="40"/>
      <c r="G60" s="40"/>
      <c r="H60" s="40"/>
      <c r="I60" s="40"/>
      <c r="J60" s="40"/>
      <c r="K60" s="41"/>
    </row>
    <row r="61" spans="1:11" x14ac:dyDescent="0.25">
      <c r="A61" s="1"/>
      <c r="B61" s="42" t="s">
        <v>66</v>
      </c>
      <c r="C61" s="2" t="e">
        <f>#REF!</f>
        <v>#REF!</v>
      </c>
    </row>
    <row r="62" spans="1:11" x14ac:dyDescent="0.25">
      <c r="A62" s="1"/>
      <c r="B62" s="42" t="s">
        <v>67</v>
      </c>
      <c r="C62" s="2" t="s">
        <v>68</v>
      </c>
    </row>
    <row r="63" spans="1:11" x14ac:dyDescent="0.25">
      <c r="A63" s="1"/>
      <c r="B63" s="42" t="s">
        <v>69</v>
      </c>
      <c r="C63" s="60" t="s">
        <v>70</v>
      </c>
    </row>
    <row r="64" spans="1:11" x14ac:dyDescent="0.25">
      <c r="A64" s="1"/>
      <c r="B64" s="42" t="s">
        <v>71</v>
      </c>
      <c r="C64" s="2" t="e">
        <f>"Preço médio de cotação de preços em revendedores de pneus no ES - pneu medida " &amp;#REF!</f>
        <v>#REF!</v>
      </c>
    </row>
    <row r="65" spans="1:11" x14ac:dyDescent="0.25">
      <c r="A65" s="1"/>
      <c r="B65" s="42" t="s">
        <v>72</v>
      </c>
      <c r="C65" s="43" t="e">
        <f>#REF!</f>
        <v>#REF!</v>
      </c>
    </row>
    <row r="66" spans="1:11" x14ac:dyDescent="0.25">
      <c r="A66" s="1"/>
      <c r="B66" s="42" t="s">
        <v>73</v>
      </c>
      <c r="C66" s="71" t="s">
        <v>74</v>
      </c>
      <c r="D66" s="71"/>
      <c r="E66" s="71"/>
      <c r="F66" s="71"/>
      <c r="G66" s="71"/>
      <c r="H66" s="71"/>
      <c r="I66" s="71"/>
      <c r="J66" s="71"/>
      <c r="K66" s="71"/>
    </row>
    <row r="67" spans="1:11" x14ac:dyDescent="0.25">
      <c r="A67" s="1"/>
      <c r="B67" s="42" t="s">
        <v>75</v>
      </c>
      <c r="C67" s="66" t="s">
        <v>76</v>
      </c>
      <c r="D67" s="66"/>
      <c r="E67" s="66"/>
      <c r="F67" s="66"/>
      <c r="G67" s="66"/>
      <c r="H67" s="66"/>
      <c r="I67" s="66"/>
      <c r="J67" s="66"/>
    </row>
    <row r="68" spans="1:11" x14ac:dyDescent="0.25">
      <c r="A68" s="1"/>
      <c r="B68" s="42" t="s">
        <v>77</v>
      </c>
      <c r="C68" s="66" t="s">
        <v>78</v>
      </c>
      <c r="D68" s="66"/>
      <c r="E68" s="66"/>
      <c r="F68" s="66"/>
      <c r="G68" s="66"/>
      <c r="H68" s="66"/>
      <c r="I68" s="66"/>
      <c r="J68" s="66"/>
    </row>
    <row r="69" spans="1:11" x14ac:dyDescent="0.25">
      <c r="A69" s="1"/>
      <c r="B69" s="42" t="s">
        <v>79</v>
      </c>
      <c r="C69" s="44" t="s">
        <v>80</v>
      </c>
    </row>
    <row r="70" spans="1:11" ht="32.25" customHeight="1" x14ac:dyDescent="0.25">
      <c r="A70" s="1"/>
      <c r="B70" s="42" t="s">
        <v>81</v>
      </c>
      <c r="C70" s="66" t="s">
        <v>82</v>
      </c>
      <c r="D70" s="66"/>
      <c r="E70" s="66"/>
      <c r="F70" s="66"/>
      <c r="G70" s="66"/>
      <c r="H70" s="66"/>
      <c r="I70" s="66"/>
      <c r="J70" s="66"/>
      <c r="K70" s="66"/>
    </row>
    <row r="71" spans="1:11" x14ac:dyDescent="0.25">
      <c r="A71" s="1"/>
      <c r="B71" s="42" t="s">
        <v>83</v>
      </c>
      <c r="C71" s="44" t="s">
        <v>84</v>
      </c>
    </row>
    <row r="72" spans="1:11" ht="15" customHeight="1" x14ac:dyDescent="0.25">
      <c r="A72" s="1"/>
      <c r="B72" s="42" t="s">
        <v>85</v>
      </c>
      <c r="C72" s="2" t="s">
        <v>86</v>
      </c>
      <c r="D72" s="2"/>
      <c r="E72" s="2"/>
      <c r="F72" s="2"/>
      <c r="G72" s="2"/>
      <c r="H72" s="58"/>
      <c r="I72" s="58"/>
      <c r="J72" s="58"/>
    </row>
    <row r="73" spans="1:11" ht="15" customHeight="1" x14ac:dyDescent="0.25">
      <c r="A73" s="1"/>
      <c r="B73" s="42" t="s">
        <v>87</v>
      </c>
      <c r="C73" s="2" t="s">
        <v>88</v>
      </c>
      <c r="D73" s="2"/>
      <c r="E73" s="2"/>
      <c r="F73" s="2"/>
      <c r="G73" s="2"/>
      <c r="H73" s="58"/>
      <c r="I73" s="58"/>
      <c r="J73" s="58"/>
    </row>
    <row r="74" spans="1:11" ht="15" customHeight="1" x14ac:dyDescent="0.25">
      <c r="A74" s="1"/>
      <c r="B74" s="65" t="s">
        <v>89</v>
      </c>
      <c r="C74" s="2" t="s">
        <v>90</v>
      </c>
      <c r="D74" s="2"/>
      <c r="E74" s="2"/>
      <c r="F74" s="2"/>
      <c r="G74" s="2"/>
      <c r="H74" s="58"/>
      <c r="I74" s="58"/>
      <c r="J74" s="58"/>
    </row>
    <row r="75" spans="1:11" ht="15" customHeight="1" thickBot="1" x14ac:dyDescent="0.3">
      <c r="A75" s="1"/>
      <c r="B75" s="45" t="s">
        <v>91</v>
      </c>
      <c r="C75" s="46" t="s">
        <v>92</v>
      </c>
      <c r="D75" s="46"/>
      <c r="E75" s="46"/>
      <c r="F75" s="46"/>
      <c r="G75" s="46"/>
      <c r="H75" s="47"/>
      <c r="I75" s="47"/>
      <c r="J75" s="47"/>
      <c r="K75" s="41"/>
    </row>
    <row r="76" spans="1:11" x14ac:dyDescent="0.25">
      <c r="A76" s="1"/>
      <c r="B76" s="42" t="s">
        <v>93</v>
      </c>
      <c r="C76" s="2" t="s">
        <v>94</v>
      </c>
    </row>
    <row r="77" spans="1:11" ht="15" customHeight="1" x14ac:dyDescent="0.25">
      <c r="A77" s="1"/>
      <c r="B77" s="42" t="s">
        <v>95</v>
      </c>
      <c r="C77" s="2" t="s">
        <v>96</v>
      </c>
      <c r="D77" s="58"/>
      <c r="E77" s="58"/>
      <c r="F77" s="58"/>
      <c r="G77" s="58"/>
      <c r="H77" s="58"/>
      <c r="I77" s="58"/>
      <c r="J77" s="58"/>
    </row>
    <row r="78" spans="1:11" ht="15" customHeight="1" x14ac:dyDescent="0.25">
      <c r="A78" s="1"/>
      <c r="B78" s="42" t="s">
        <v>97</v>
      </c>
      <c r="C78" s="2" t="s">
        <v>94</v>
      </c>
      <c r="D78" s="58"/>
      <c r="E78" s="58"/>
      <c r="F78" s="58"/>
      <c r="G78" s="58"/>
      <c r="H78" s="58"/>
      <c r="I78" s="58"/>
      <c r="J78" s="58"/>
    </row>
    <row r="79" spans="1:11" ht="15" customHeight="1" x14ac:dyDescent="0.25">
      <c r="A79" s="1"/>
      <c r="B79" s="42" t="s">
        <v>98</v>
      </c>
      <c r="C79" s="2" t="s">
        <v>94</v>
      </c>
      <c r="D79" s="58"/>
      <c r="E79" s="58"/>
      <c r="F79" s="58"/>
      <c r="G79" s="58"/>
      <c r="H79" s="58"/>
      <c r="I79" s="58"/>
      <c r="J79" s="58"/>
    </row>
    <row r="80" spans="1:11" ht="15" customHeight="1" x14ac:dyDescent="0.25">
      <c r="A80" s="1"/>
      <c r="B80" s="42" t="s">
        <v>99</v>
      </c>
      <c r="C80" s="2" t="s">
        <v>94</v>
      </c>
      <c r="D80" s="58"/>
      <c r="E80" s="58"/>
      <c r="F80" s="58"/>
      <c r="G80" s="58"/>
      <c r="H80" s="58"/>
      <c r="I80" s="58"/>
      <c r="J80" s="58"/>
    </row>
    <row r="81" spans="1:11" ht="15.75" thickBot="1" x14ac:dyDescent="0.3">
      <c r="A81" s="1"/>
      <c r="B81" s="45" t="s">
        <v>100</v>
      </c>
      <c r="C81" s="48" t="str">
        <f>IF(D14="","% do valor do salário motorista e monitor. Valor apurado por estudo da Universidade Federal de Minas Gerais - UFMG.",D14*100&amp;"% do valor do salário motorista e monitor. Valor apurado por estudo da Universidade Federal de Minas Gerais - UFMG.")</f>
        <v>59,22% do valor do salário motorista e monitor. Valor apurado por estudo da Universidade Federal de Minas Gerais - UFMG.</v>
      </c>
      <c r="D81" s="41"/>
      <c r="E81" s="41"/>
      <c r="F81" s="41"/>
      <c r="G81" s="41"/>
      <c r="H81" s="41"/>
      <c r="I81" s="41"/>
      <c r="J81" s="41"/>
      <c r="K81" s="41"/>
    </row>
    <row r="82" spans="1:11" x14ac:dyDescent="0.25">
      <c r="A82" s="1"/>
      <c r="B82" s="42" t="s">
        <v>101</v>
      </c>
      <c r="C82" s="44" t="s">
        <v>102</v>
      </c>
    </row>
    <row r="83" spans="1:11" x14ac:dyDescent="0.25">
      <c r="A83" s="1"/>
      <c r="B83" s="42" t="s">
        <v>103</v>
      </c>
      <c r="C83" s="44" t="str">
        <f>"Todos os custos variáveis são acrescidos de " &amp; (L5-1)*100 &amp;"% para vias não pavimentadas (terra) quando comparados com uma via pavimentada (asfalto)."</f>
        <v>Todos os custos variáveis são acrescidos de 35% para vias não pavimentadas (terra) quando comparados com uma via pavimentada (asfalto).</v>
      </c>
    </row>
    <row r="84" spans="1:11" x14ac:dyDescent="0.25">
      <c r="A84" s="1"/>
      <c r="B84" s="42" t="s">
        <v>104</v>
      </c>
      <c r="C84" s="2" t="s">
        <v>105</v>
      </c>
      <c r="K84" s="2"/>
    </row>
    <row r="85" spans="1:11" x14ac:dyDescent="0.25">
      <c r="A85" s="1"/>
      <c r="B85" s="42" t="s">
        <v>106</v>
      </c>
      <c r="C85" s="2" t="s">
        <v>107</v>
      </c>
      <c r="K85" s="2"/>
    </row>
    <row r="86" spans="1:11" x14ac:dyDescent="0.25">
      <c r="A86" s="1"/>
      <c r="B86" s="42" t="s">
        <v>108</v>
      </c>
      <c r="C86" s="2" t="s">
        <v>109</v>
      </c>
      <c r="K86" s="2"/>
    </row>
    <row r="87" spans="1:11" ht="15.75" thickBot="1" x14ac:dyDescent="0.3">
      <c r="A87" s="1"/>
      <c r="B87" s="45" t="s">
        <v>110</v>
      </c>
      <c r="C87" s="46" t="s">
        <v>111</v>
      </c>
      <c r="D87" s="41"/>
      <c r="E87" s="41"/>
      <c r="F87" s="41"/>
      <c r="G87" s="41"/>
      <c r="H87" s="41"/>
      <c r="I87" s="41"/>
      <c r="J87" s="41"/>
      <c r="K87" s="46"/>
    </row>
    <row r="88" spans="1:11" x14ac:dyDescent="0.25">
      <c r="A88" s="1"/>
      <c r="B88" s="42" t="s">
        <v>112</v>
      </c>
      <c r="C88" s="67" t="str">
        <f>B28*100&amp;"% do total das despesas."</f>
        <v>5% do total das despesas.</v>
      </c>
      <c r="D88" s="67"/>
      <c r="E88" s="67"/>
      <c r="F88" s="67"/>
      <c r="G88" s="67"/>
      <c r="H88" s="67"/>
      <c r="I88" s="67"/>
      <c r="J88" s="67"/>
      <c r="K88" s="67"/>
    </row>
    <row r="89" spans="1:11" x14ac:dyDescent="0.25">
      <c r="A89" s="1"/>
      <c r="B89" s="42" t="s">
        <v>113</v>
      </c>
      <c r="C89" s="2" t="str">
        <f>C28*100&amp;"% do total das despesas."</f>
        <v>7,2% do total das despesas.</v>
      </c>
      <c r="K89" s="2"/>
    </row>
    <row r="90" spans="1:11" x14ac:dyDescent="0.25">
      <c r="A90" s="1"/>
      <c r="B90" s="42" t="s">
        <v>114</v>
      </c>
      <c r="C90" s="2" t="str">
        <f>D28*100 &amp; "% referente ao Programa de Integração Social - PIS."</f>
        <v>0,65% referente ao Programa de Integração Social - PIS.</v>
      </c>
      <c r="K90" s="2"/>
    </row>
    <row r="91" spans="1:11" x14ac:dyDescent="0.25">
      <c r="A91" s="1"/>
      <c r="B91" s="42" t="s">
        <v>115</v>
      </c>
      <c r="C91" s="2" t="str">
        <f>E28*100 &amp; "% referente a Contribuição para o Financiamento da Seguridade Social - COFINS."</f>
        <v>3% referente a Contribuição para o Financiamento da Seguridade Social - COFINS.</v>
      </c>
      <c r="K91" s="2"/>
    </row>
    <row r="92" spans="1:11" x14ac:dyDescent="0.25">
      <c r="A92" s="1"/>
      <c r="B92" s="42" t="s">
        <v>116</v>
      </c>
      <c r="C92" s="2" t="str">
        <f>F28*100 &amp; "% referente ao Imposto Sobre Serviço - ISS. O valor do ISS varia de acordo com o município."</f>
        <v>5% referente ao Imposto Sobre Serviço - ISS. O valor do ISS varia de acordo com o município.</v>
      </c>
      <c r="K92" s="2"/>
    </row>
    <row r="93" spans="1:11" ht="14.25" customHeight="1" thickBot="1" x14ac:dyDescent="0.3">
      <c r="A93" s="1"/>
      <c r="B93" s="45" t="s">
        <v>117</v>
      </c>
      <c r="C93" s="46" t="s">
        <v>118</v>
      </c>
      <c r="D93" s="41"/>
      <c r="E93" s="41"/>
      <c r="F93" s="41"/>
      <c r="G93" s="41"/>
      <c r="H93" s="41"/>
      <c r="I93" s="41"/>
      <c r="J93" s="41"/>
      <c r="K93" s="46"/>
    </row>
    <row r="94" spans="1:11" x14ac:dyDescent="0.25">
      <c r="A94" s="1"/>
      <c r="B94" s="42" t="s">
        <v>119</v>
      </c>
      <c r="C94" s="2" t="s">
        <v>120</v>
      </c>
      <c r="D94" s="2"/>
      <c r="E94" s="2"/>
      <c r="K94" s="2"/>
    </row>
    <row r="95" spans="1:11" x14ac:dyDescent="0.25">
      <c r="A95" s="1"/>
      <c r="B95" s="42" t="s">
        <v>121</v>
      </c>
      <c r="C95" s="62" t="s">
        <v>122</v>
      </c>
      <c r="K95" s="2"/>
    </row>
    <row r="96" spans="1:11" ht="15.75" thickBot="1" x14ac:dyDescent="0.3">
      <c r="A96" s="1"/>
      <c r="B96" s="45" t="s">
        <v>123</v>
      </c>
      <c r="C96" s="62" t="s">
        <v>124</v>
      </c>
      <c r="D96" s="41"/>
      <c r="E96" s="41"/>
      <c r="F96" s="41"/>
      <c r="G96" s="41"/>
      <c r="H96" s="41"/>
      <c r="I96" s="41"/>
      <c r="J96" s="41"/>
      <c r="K96" s="46"/>
    </row>
  </sheetData>
  <protectedRanges>
    <protectedRange sqref="J5" name="Dados de Entrada_5_1"/>
  </protectedRanges>
  <mergeCells count="30">
    <mergeCell ref="B17:H17"/>
    <mergeCell ref="B7:L7"/>
    <mergeCell ref="B1:L1"/>
    <mergeCell ref="B3:L3"/>
    <mergeCell ref="B46:E46"/>
    <mergeCell ref="B12:I12"/>
    <mergeCell ref="B25:G25"/>
    <mergeCell ref="H30:L30"/>
    <mergeCell ref="H34:K34"/>
    <mergeCell ref="H36:K36"/>
    <mergeCell ref="B30:E30"/>
    <mergeCell ref="B48:E48"/>
    <mergeCell ref="B26:B27"/>
    <mergeCell ref="C26:C27"/>
    <mergeCell ref="D26:F26"/>
    <mergeCell ref="G26:G27"/>
    <mergeCell ref="B38:E38"/>
    <mergeCell ref="B40:E40"/>
    <mergeCell ref="B42:E42"/>
    <mergeCell ref="B44:F44"/>
    <mergeCell ref="C67:J67"/>
    <mergeCell ref="C68:J68"/>
    <mergeCell ref="C70:K70"/>
    <mergeCell ref="C88:K88"/>
    <mergeCell ref="B50:E50"/>
    <mergeCell ref="B52:F52"/>
    <mergeCell ref="B54:E54"/>
    <mergeCell ref="B56:E56"/>
    <mergeCell ref="B58:E58"/>
    <mergeCell ref="C66:K66"/>
  </mergeCells>
  <dataValidations count="3">
    <dataValidation type="list" allowBlank="1" showInputMessage="1" showErrorMessage="1" sqref="B5" xr:uid="{EF535E3D-8526-4B8D-BF74-31DC85E3E8EE}">
      <formula1>"08 passageiros,15 passageiros,15 passageiros adaptado,23 passageiros,23 passageiros adaptado,41 passageiros, 41 passageiros adaptado"</formula1>
    </dataValidation>
    <dataValidation type="list" allowBlank="1" showInputMessage="1" showErrorMessage="1" sqref="E5" xr:uid="{5442A454-D277-40A2-BAB9-CD862CC01DB8}">
      <mc:AlternateContent xmlns:x12ac="http://schemas.microsoft.com/office/spreadsheetml/2011/1/ac" xmlns:mc="http://schemas.openxmlformats.org/markup-compatibility/2006">
        <mc:Choice Requires="x12ac">
          <x12ac:list>185-R14,205/75-R16,"215/75-R17,5","275/80-R22,5"</x12ac:list>
        </mc:Choice>
        <mc:Fallback>
          <formula1>"185-R14,205/75-R16,215/75-R17,5,275/80-R22,5"</formula1>
        </mc:Fallback>
      </mc:AlternateContent>
    </dataValidation>
    <dataValidation type="list" allowBlank="1" showInputMessage="1" showErrorMessage="1" sqref="H5" xr:uid="{51FAA624-3975-42C2-A5D1-087C504D2257}">
      <formula1>"Gasolina,Diesel"</formula1>
    </dataValidation>
  </dataValidations>
  <hyperlinks>
    <hyperlink ref="C63" r:id="rId1" xr:uid="{00000000-0004-0000-0900-000000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44" orientation="portrait" r:id="rId2"/>
  <headerFooter>
    <oddHeader>&amp;R&amp;D</oddHeader>
    <oddFooter>&amp;C&amp;F&amp;RPágina &amp;P de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92"/>
  <sheetViews>
    <sheetView showGridLines="0" view="pageBreakPreview" topLeftCell="A17" zoomScale="60" zoomScaleNormal="100" workbookViewId="0">
      <selection activeCell="F56" sqref="F56"/>
    </sheetView>
  </sheetViews>
  <sheetFormatPr defaultColWidth="8.85546875" defaultRowHeight="15" x14ac:dyDescent="0.25"/>
  <cols>
    <col min="1" max="1" width="2.7109375" style="2" customWidth="1"/>
    <col min="2" max="2" width="34.85546875" style="7" bestFit="1" customWidth="1"/>
    <col min="3" max="3" width="21.7109375" style="7" customWidth="1"/>
    <col min="4" max="4" width="13.85546875" style="7" customWidth="1"/>
    <col min="5" max="5" width="16.85546875" style="7" bestFit="1" customWidth="1"/>
    <col min="6" max="6" width="15.7109375" style="7" bestFit="1" customWidth="1"/>
    <col min="7" max="7" width="17.42578125" style="7" customWidth="1"/>
    <col min="8" max="8" width="15.7109375" style="7" bestFit="1" customWidth="1"/>
    <col min="9" max="9" width="14" style="7" customWidth="1"/>
    <col min="10" max="10" width="16.85546875" style="7" bestFit="1" customWidth="1"/>
    <col min="11" max="11" width="17.140625" style="7" customWidth="1"/>
    <col min="12" max="12" width="2.7109375" style="2" customWidth="1"/>
    <col min="13" max="16384" width="8.85546875" style="2"/>
  </cols>
  <sheetData>
    <row r="1" spans="2:12" s="1" customFormat="1" ht="23.25" customHeight="1" x14ac:dyDescent="0.25">
      <c r="B1" s="77" t="s">
        <v>129</v>
      </c>
      <c r="C1" s="77"/>
      <c r="D1" s="77"/>
      <c r="E1" s="77"/>
      <c r="F1" s="77"/>
      <c r="G1" s="77"/>
      <c r="H1" s="77"/>
      <c r="I1" s="77"/>
      <c r="J1" s="77"/>
      <c r="K1" s="77"/>
    </row>
    <row r="2" spans="2:12" s="1" customFormat="1" ht="10.15" customHeight="1" x14ac:dyDescent="0.25">
      <c r="B2" s="8"/>
      <c r="C2" s="8"/>
      <c r="D2" s="8"/>
      <c r="E2" s="8"/>
      <c r="F2" s="8"/>
      <c r="G2" s="8"/>
      <c r="H2" s="8"/>
      <c r="I2" s="8"/>
      <c r="J2" s="8"/>
      <c r="K2" s="8"/>
    </row>
    <row r="3" spans="2:12" s="1" customFormat="1" x14ac:dyDescent="0.25">
      <c r="B3" s="75" t="s">
        <v>24</v>
      </c>
      <c r="C3" s="76"/>
      <c r="D3" s="76"/>
      <c r="E3" s="76"/>
      <c r="F3" s="76"/>
      <c r="G3" s="76"/>
      <c r="H3" s="76"/>
      <c r="I3" s="76"/>
      <c r="J3" s="76"/>
      <c r="K3" s="76"/>
      <c r="L3" s="16"/>
    </row>
    <row r="4" spans="2:12" s="1" customFormat="1" ht="45.75" customHeight="1" x14ac:dyDescent="0.25">
      <c r="B4" s="9" t="s">
        <v>25</v>
      </c>
      <c r="C4" s="56" t="s">
        <v>26</v>
      </c>
      <c r="D4" s="56" t="s">
        <v>2</v>
      </c>
      <c r="E4" s="56" t="s">
        <v>0</v>
      </c>
      <c r="F4" s="56" t="s">
        <v>1</v>
      </c>
      <c r="G4" s="56" t="s">
        <v>28</v>
      </c>
      <c r="H4" s="56" t="s">
        <v>29</v>
      </c>
      <c r="I4" s="56" t="s">
        <v>30</v>
      </c>
      <c r="J4" s="56" t="s">
        <v>31</v>
      </c>
      <c r="K4" s="56" t="s">
        <v>32</v>
      </c>
      <c r="L4"/>
    </row>
    <row r="5" spans="2:12" s="1" customFormat="1" x14ac:dyDescent="0.25">
      <c r="B5" s="50" t="e">
        <f>#REF!</f>
        <v>#REF!</v>
      </c>
      <c r="C5" s="10" t="e">
        <f>#REF!</f>
        <v>#REF!</v>
      </c>
      <c r="D5" s="13" t="e">
        <f>#REF!</f>
        <v>#REF!</v>
      </c>
      <c r="E5" s="13" t="e">
        <f>#REF!</f>
        <v>#REF!</v>
      </c>
      <c r="F5" s="11" t="e">
        <f>#REF!</f>
        <v>#REF!</v>
      </c>
      <c r="G5" s="10" t="e">
        <f>#REF!</f>
        <v>#REF!</v>
      </c>
      <c r="H5" s="11" t="e">
        <f>#REF!</f>
        <v>#REF!</v>
      </c>
      <c r="I5" s="14" t="e">
        <f>1/C18</f>
        <v>#REF!</v>
      </c>
      <c r="J5" s="12" t="e">
        <f>#REF!</f>
        <v>#REF!</v>
      </c>
      <c r="K5" s="12" t="e">
        <f>#REF!</f>
        <v>#REF!</v>
      </c>
    </row>
    <row r="6" spans="2:12" s="1" customFormat="1" ht="10.15" customHeight="1" x14ac:dyDescent="0.25">
      <c r="D6" s="15"/>
      <c r="L6" s="16"/>
    </row>
    <row r="7" spans="2:12" s="1" customFormat="1" x14ac:dyDescent="0.25">
      <c r="B7" s="75" t="s">
        <v>33</v>
      </c>
      <c r="C7" s="76"/>
      <c r="D7" s="76"/>
      <c r="E7" s="76"/>
      <c r="F7" s="76"/>
      <c r="G7" s="76"/>
      <c r="H7" s="76"/>
      <c r="I7" s="76"/>
      <c r="J7" s="76"/>
      <c r="K7" s="76"/>
      <c r="L7" s="16"/>
    </row>
    <row r="8" spans="2:12" s="1" customFormat="1" ht="30" customHeight="1" x14ac:dyDescent="0.25">
      <c r="B8" s="56" t="s">
        <v>12</v>
      </c>
      <c r="C8" s="56" t="s">
        <v>13</v>
      </c>
      <c r="D8" s="56" t="s">
        <v>14</v>
      </c>
      <c r="E8" s="56" t="s">
        <v>15</v>
      </c>
      <c r="F8" s="56" t="s">
        <v>16</v>
      </c>
      <c r="G8" s="56" t="s">
        <v>17</v>
      </c>
      <c r="H8" s="56" t="s">
        <v>18</v>
      </c>
      <c r="I8" s="56" t="s">
        <v>6</v>
      </c>
      <c r="J8" s="56" t="s">
        <v>35</v>
      </c>
      <c r="K8" s="56" t="s">
        <v>36</v>
      </c>
    </row>
    <row r="9" spans="2:12" s="1" customFormat="1" x14ac:dyDescent="0.25">
      <c r="B9" s="3" t="e">
        <f>ROUND(((C5-D5*F5)*(1-#REF!))/#REF!, 2)</f>
        <v>#REF!</v>
      </c>
      <c r="C9" s="4" t="e">
        <f>#REF!</f>
        <v>#REF!</v>
      </c>
      <c r="D9" s="4" t="e">
        <f>#REF!</f>
        <v>#REF!</v>
      </c>
      <c r="E9" s="4" t="e">
        <f>C5*1%</f>
        <v>#REF!</v>
      </c>
      <c r="F9" s="4" t="e">
        <f>#REF!+#REF!*#REF!</f>
        <v>#REF!</v>
      </c>
      <c r="G9" s="4" t="e">
        <f>#REF!</f>
        <v>#REF!</v>
      </c>
      <c r="H9" s="4" t="e">
        <f>#REF!</f>
        <v>#REF!</v>
      </c>
      <c r="I9" s="4" t="e">
        <f>#REF!</f>
        <v>#REF!</v>
      </c>
      <c r="J9" s="4" t="e">
        <f>#REF!/2</f>
        <v>#REF!</v>
      </c>
      <c r="K9" s="17" t="e">
        <f>SUM(B9:J9)</f>
        <v>#REF!</v>
      </c>
    </row>
    <row r="10" spans="2:12" s="1" customFormat="1" ht="10.15" customHeight="1" x14ac:dyDescent="0.25">
      <c r="D10" s="15"/>
      <c r="L10" s="16"/>
    </row>
    <row r="11" spans="2:12" s="1" customFormat="1" ht="15" customHeight="1" x14ac:dyDescent="0.25">
      <c r="B11" s="75" t="s">
        <v>39</v>
      </c>
      <c r="C11" s="76"/>
      <c r="D11" s="76"/>
      <c r="E11" s="76"/>
      <c r="F11" s="76"/>
      <c r="G11" s="76"/>
      <c r="H11" s="76"/>
      <c r="I11" s="76"/>
      <c r="J11"/>
      <c r="K11" s="8"/>
    </row>
    <row r="12" spans="2:12" s="1" customFormat="1" ht="30" x14ac:dyDescent="0.25">
      <c r="B12" s="56" t="s">
        <v>40</v>
      </c>
      <c r="C12" s="56" t="s">
        <v>41</v>
      </c>
      <c r="D12" s="56" t="s">
        <v>42</v>
      </c>
      <c r="E12" s="56" t="s">
        <v>43</v>
      </c>
      <c r="F12" s="56" t="s">
        <v>22</v>
      </c>
      <c r="G12" s="56" t="s">
        <v>4</v>
      </c>
      <c r="H12" s="56" t="s">
        <v>5</v>
      </c>
      <c r="I12" s="56" t="s">
        <v>44</v>
      </c>
      <c r="J12"/>
    </row>
    <row r="13" spans="2:12" s="1" customFormat="1" x14ac:dyDescent="0.25">
      <c r="B13" s="53" t="s">
        <v>45</v>
      </c>
      <c r="C13" s="19" t="e">
        <f>#REF!</f>
        <v>#REF!</v>
      </c>
      <c r="D13" s="20" t="e">
        <f>#REF!</f>
        <v>#REF!</v>
      </c>
      <c r="E13" s="19" t="e">
        <f>ROUND((C13)*(D13),2)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17" t="e">
        <f>SUM(C13:C13,E13:H13)</f>
        <v>#REF!</v>
      </c>
      <c r="J13"/>
    </row>
    <row r="14" spans="2:12" s="1" customFormat="1" x14ac:dyDescent="0.25">
      <c r="B14" s="53" t="s">
        <v>23</v>
      </c>
      <c r="C14" s="19" t="e">
        <f>#REF!/2</f>
        <v>#REF!</v>
      </c>
      <c r="D14" s="20">
        <v>0.59809999999999997</v>
      </c>
      <c r="E14" s="19" t="e">
        <f>ROUND((C14)*(D14),2)</f>
        <v>#REF!</v>
      </c>
      <c r="F14" s="4" t="e">
        <f>#REF!/2</f>
        <v>#REF!</v>
      </c>
      <c r="G14" s="4" t="e">
        <f>#REF!</f>
        <v>#REF!</v>
      </c>
      <c r="H14" s="4" t="e">
        <f>#REF!</f>
        <v>#REF!</v>
      </c>
      <c r="I14" s="17" t="e">
        <f>SUM(C14:C14,E14:H14)</f>
        <v>#REF!</v>
      </c>
      <c r="J14"/>
      <c r="K14" s="8"/>
    </row>
    <row r="15" spans="2:12" s="1" customFormat="1" x14ac:dyDescent="0.25">
      <c r="B15" s="8"/>
      <c r="C15" s="8"/>
      <c r="D15" s="8"/>
      <c r="E15" s="8"/>
      <c r="F15" s="31"/>
      <c r="G15" s="8"/>
      <c r="H15" s="8"/>
      <c r="I15" s="31"/>
      <c r="J15" s="8"/>
      <c r="K15" s="8"/>
    </row>
    <row r="16" spans="2:12" s="1" customFormat="1" ht="15" customHeight="1" x14ac:dyDescent="0.25">
      <c r="B16" s="74" t="s">
        <v>46</v>
      </c>
      <c r="C16" s="74"/>
      <c r="D16" s="74"/>
      <c r="E16" s="74"/>
      <c r="F16" s="74"/>
      <c r="G16" s="80"/>
      <c r="I16" s="5"/>
    </row>
    <row r="17" spans="1:11" s="1" customFormat="1" ht="30" customHeight="1" x14ac:dyDescent="0.25">
      <c r="B17" s="56" t="s">
        <v>47</v>
      </c>
      <c r="C17" s="56" t="s">
        <v>7</v>
      </c>
      <c r="D17" s="56" t="s">
        <v>19</v>
      </c>
      <c r="E17" s="56" t="s">
        <v>20</v>
      </c>
      <c r="F17" s="56" t="s">
        <v>21</v>
      </c>
      <c r="G17" s="56" t="s">
        <v>48</v>
      </c>
    </row>
    <row r="18" spans="1:11" s="1" customFormat="1" x14ac:dyDescent="0.25">
      <c r="B18" s="6" t="s">
        <v>49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49"/>
      <c r="J18" s="5"/>
    </row>
    <row r="19" spans="1:11" s="1" customFormat="1" x14ac:dyDescent="0.25">
      <c r="B19" s="10" t="s">
        <v>50</v>
      </c>
      <c r="C19" s="10" t="e">
        <f>ROUND((C18*H5)*(1+(B25+C25))/ (1-(D25+E25+F25)),2)</f>
        <v>#REF!</v>
      </c>
      <c r="D19" s="10" t="e">
        <f>ROUND((H5*D18)*(1+(B25+C25))/ (1-(D25+E25+F25)),2)</f>
        <v>#REF!</v>
      </c>
      <c r="E19" s="10" t="e">
        <f>ROUND((F5*E18)*(1+(B25+C25))/ (1-(D25+E25+F25)),2)</f>
        <v>#REF!</v>
      </c>
      <c r="F19" s="10" t="e">
        <f>ROUND((F18*C5)*(1+(B25+C25))/ (1-(D25+E25+F25)),2)</f>
        <v>#REF!</v>
      </c>
      <c r="G19" s="17" t="e">
        <f>SUM(C19:F19)</f>
        <v>#REF!</v>
      </c>
      <c r="J19" s="5"/>
    </row>
    <row r="20" spans="1:11" s="1" customFormat="1" x14ac:dyDescent="0.25">
      <c r="B20" s="10" t="s">
        <v>51</v>
      </c>
      <c r="C20" s="10" t="e">
        <f>C19*$K$5</f>
        <v>#REF!</v>
      </c>
      <c r="D20" s="10" t="e">
        <f>D19*$K$5</f>
        <v>#REF!</v>
      </c>
      <c r="E20" s="10" t="e">
        <f>E19*$K$5</f>
        <v>#REF!</v>
      </c>
      <c r="F20" s="10" t="e">
        <f>F19*$K$5</f>
        <v>#REF!</v>
      </c>
      <c r="G20" s="17" t="e">
        <f>SUM(C20:F20)</f>
        <v>#REF!</v>
      </c>
      <c r="J20" s="31"/>
    </row>
    <row r="21" spans="1:11" s="1" customFormat="1" ht="10.15" customHeight="1" x14ac:dyDescent="0.25">
      <c r="B21" s="8"/>
      <c r="C21" s="8"/>
      <c r="D21" s="8"/>
      <c r="E21" s="8"/>
      <c r="F21" s="8"/>
      <c r="G21" s="8"/>
      <c r="H21" s="8"/>
      <c r="I21" s="18"/>
      <c r="J21" s="31"/>
      <c r="K21" s="8"/>
    </row>
    <row r="22" spans="1:11" s="1" customFormat="1" ht="14.25" customHeight="1" x14ac:dyDescent="0.25">
      <c r="B22" s="72" t="s">
        <v>8</v>
      </c>
      <c r="C22" s="72"/>
      <c r="D22" s="72"/>
      <c r="E22" s="72"/>
      <c r="F22" s="72"/>
      <c r="G22" s="72"/>
      <c r="H22" s="8"/>
      <c r="I22" s="18"/>
      <c r="J22" s="8"/>
      <c r="K22" s="8"/>
    </row>
    <row r="23" spans="1:11" s="1" customFormat="1" ht="14.25" customHeight="1" x14ac:dyDescent="0.25">
      <c r="B23" s="72" t="s">
        <v>52</v>
      </c>
      <c r="C23" s="72" t="s">
        <v>53</v>
      </c>
      <c r="D23" s="72" t="s">
        <v>54</v>
      </c>
      <c r="E23" s="72"/>
      <c r="F23" s="72"/>
      <c r="G23" s="72" t="s">
        <v>55</v>
      </c>
      <c r="H23" s="8"/>
      <c r="I23" s="18"/>
      <c r="J23" s="8"/>
      <c r="K23" s="8"/>
    </row>
    <row r="24" spans="1:11" s="1" customFormat="1" x14ac:dyDescent="0.25">
      <c r="B24" s="72"/>
      <c r="C24" s="72"/>
      <c r="D24" s="57" t="s">
        <v>9</v>
      </c>
      <c r="E24" s="57" t="s">
        <v>10</v>
      </c>
      <c r="F24" s="57" t="s">
        <v>11</v>
      </c>
      <c r="G24" s="72"/>
      <c r="H24" s="8"/>
      <c r="I24" s="18"/>
      <c r="J24" s="8"/>
      <c r="K24" s="8"/>
    </row>
    <row r="25" spans="1:11" s="1" customFormat="1" x14ac:dyDescent="0.25">
      <c r="B25" s="51" t="e">
        <f>#REF!</f>
        <v>#REF!</v>
      </c>
      <c r="C25" s="51" t="e">
        <f>#REF!</f>
        <v>#REF!</v>
      </c>
      <c r="D25" s="51" t="e">
        <f>#REF!</f>
        <v>#REF!</v>
      </c>
      <c r="E25" s="51" t="e">
        <f>#REF!</f>
        <v>#REF!</v>
      </c>
      <c r="F25" s="51" t="e">
        <f>#REF!</f>
        <v>#REF!</v>
      </c>
      <c r="G25" s="52" t="e">
        <f>SUM(B25:F25)</f>
        <v>#REF!</v>
      </c>
      <c r="H25" s="8"/>
      <c r="I25" s="54"/>
      <c r="J25" s="8"/>
      <c r="K25" s="8"/>
    </row>
    <row r="26" spans="1:11" s="1" customFormat="1" ht="12.75" customHeight="1" x14ac:dyDescent="0.25">
      <c r="B26" s="26"/>
      <c r="C26" s="8"/>
      <c r="D26" s="8"/>
      <c r="E26" s="8"/>
      <c r="F26" s="8"/>
      <c r="G26" s="8"/>
      <c r="H26" s="8"/>
      <c r="I26" s="18"/>
      <c r="J26" s="8"/>
      <c r="K26" s="8"/>
    </row>
    <row r="27" spans="1:11" s="1" customFormat="1" ht="15.75" thickBot="1" x14ac:dyDescent="0.3">
      <c r="B27" s="78" t="s">
        <v>125</v>
      </c>
      <c r="C27" s="78"/>
      <c r="D27" s="78"/>
      <c r="E27" s="78"/>
      <c r="F27" s="78"/>
      <c r="G27" s="8"/>
      <c r="H27" s="8"/>
      <c r="I27" s="8"/>
      <c r="J27" s="8"/>
      <c r="K27" s="8"/>
    </row>
    <row r="28" spans="1:11" s="1" customFormat="1" ht="8.25" customHeight="1" x14ac:dyDescent="0.25">
      <c r="B28" s="21"/>
      <c r="C28" s="21"/>
      <c r="D28" s="21"/>
      <c r="E28" s="21"/>
      <c r="F28" s="22"/>
      <c r="G28" s="8"/>
      <c r="H28" s="8"/>
      <c r="I28" s="8"/>
      <c r="J28" s="8"/>
      <c r="K28" s="8"/>
    </row>
    <row r="29" spans="1:11" s="1" customFormat="1" x14ac:dyDescent="0.25">
      <c r="A29" s="59"/>
      <c r="B29" s="61" t="s">
        <v>126</v>
      </c>
      <c r="C29" s="61"/>
      <c r="D29" s="61"/>
      <c r="E29" s="61"/>
      <c r="F29" s="23" t="e">
        <f>ROUND((K9/12+(I13+I14))*(1+(B25+C25))/ (1-(D25+E25+F25)),2)</f>
        <v>#REF!</v>
      </c>
      <c r="H29" s="18"/>
      <c r="J29" s="8"/>
      <c r="K29" s="8"/>
    </row>
    <row r="30" spans="1:11" s="1" customFormat="1" ht="10.15" customHeight="1" x14ac:dyDescent="0.25">
      <c r="A30" s="59"/>
      <c r="B30" s="24"/>
      <c r="C30" s="24"/>
      <c r="D30" s="24"/>
      <c r="E30" s="24"/>
      <c r="F30" s="25"/>
      <c r="H30" s="26"/>
      <c r="K30" s="8"/>
    </row>
    <row r="31" spans="1:11" s="1" customFormat="1" ht="15" customHeight="1" x14ac:dyDescent="0.25">
      <c r="A31" s="59"/>
      <c r="B31" s="79" t="s">
        <v>60</v>
      </c>
      <c r="C31" s="79"/>
      <c r="D31" s="79"/>
      <c r="E31" s="79"/>
      <c r="F31" s="23" t="e">
        <f>ROUND(G19,2)</f>
        <v>#REF!</v>
      </c>
      <c r="H31" s="28"/>
      <c r="K31" s="8"/>
    </row>
    <row r="32" spans="1:11" s="1" customFormat="1" ht="10.15" customHeight="1" x14ac:dyDescent="0.25">
      <c r="A32" s="2"/>
      <c r="B32" s="2"/>
      <c r="C32" s="2"/>
      <c r="D32" s="2"/>
      <c r="E32" s="24"/>
      <c r="F32" s="22"/>
      <c r="H32" s="18"/>
      <c r="J32" s="27"/>
      <c r="K32" s="8"/>
    </row>
    <row r="33" spans="1:11" s="1" customFormat="1" ht="15" customHeight="1" x14ac:dyDescent="0.25">
      <c r="A33" s="59"/>
      <c r="B33" s="79" t="s">
        <v>61</v>
      </c>
      <c r="C33" s="79"/>
      <c r="D33" s="79"/>
      <c r="E33" s="79"/>
      <c r="F33" s="23" t="e">
        <f>ROUND(G20,2)</f>
        <v>#REF!</v>
      </c>
      <c r="H33" s="28"/>
      <c r="I33" s="8"/>
      <c r="J33" s="8"/>
      <c r="K33" s="8"/>
    </row>
    <row r="34" spans="1:11" ht="8.25" hidden="1" customHeight="1" x14ac:dyDescent="0.25">
      <c r="B34" s="24"/>
      <c r="C34" s="24"/>
      <c r="D34" s="24"/>
      <c r="E34" s="24"/>
      <c r="F34" s="22"/>
      <c r="J34" s="29"/>
    </row>
    <row r="35" spans="1:11" ht="15" hidden="1" customHeight="1" x14ac:dyDescent="0.25">
      <c r="B35" s="73" t="s">
        <v>62</v>
      </c>
      <c r="C35" s="73"/>
      <c r="D35" s="73"/>
      <c r="E35" s="73"/>
      <c r="F35" s="30" t="e">
        <f>#REF!*#REF!</f>
        <v>#REF!</v>
      </c>
      <c r="G35" s="31"/>
      <c r="H35" s="31"/>
      <c r="I35" s="31"/>
      <c r="J35" s="31"/>
      <c r="K35" s="31"/>
    </row>
    <row r="36" spans="1:11" hidden="1" x14ac:dyDescent="0.25">
      <c r="B36" s="24"/>
      <c r="C36" s="24"/>
      <c r="D36" s="24"/>
      <c r="E36" s="24"/>
      <c r="F36" s="22"/>
      <c r="H36" s="32"/>
      <c r="I36" s="32"/>
      <c r="J36" s="32"/>
      <c r="K36" s="32"/>
    </row>
    <row r="37" spans="1:11" ht="15" hidden="1" customHeight="1" x14ac:dyDescent="0.25">
      <c r="B37" s="73" t="s">
        <v>63</v>
      </c>
      <c r="C37" s="73"/>
      <c r="D37" s="73"/>
      <c r="E37" s="73"/>
      <c r="F37" s="33" t="e">
        <f>#REF!*#REF!</f>
        <v>#REF!</v>
      </c>
      <c r="G37" s="34"/>
      <c r="H37" s="35"/>
      <c r="I37" s="35"/>
    </row>
    <row r="38" spans="1:11" hidden="1" x14ac:dyDescent="0.25">
      <c r="B38" s="24"/>
      <c r="C38" s="24"/>
      <c r="D38" s="24"/>
      <c r="E38" s="24"/>
      <c r="F38" s="22"/>
      <c r="G38" s="8"/>
      <c r="H38" s="8"/>
      <c r="I38" s="8"/>
      <c r="J38" s="8"/>
      <c r="K38" s="8"/>
    </row>
    <row r="39" spans="1:11" ht="15" hidden="1" customHeight="1" x14ac:dyDescent="0.25">
      <c r="B39" s="73" t="s">
        <v>64</v>
      </c>
      <c r="C39" s="73"/>
      <c r="D39" s="73"/>
      <c r="E39" s="73"/>
      <c r="F39" s="30" t="e">
        <f>F35+F37</f>
        <v>#REF!</v>
      </c>
      <c r="G39" s="36"/>
      <c r="H39" s="31"/>
      <c r="I39" s="31"/>
      <c r="J39" s="31"/>
      <c r="K39" s="31"/>
    </row>
    <row r="40" spans="1:11" ht="15" hidden="1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hidden="1" thickBot="1" x14ac:dyDescent="0.3">
      <c r="B41" s="69" t="str">
        <f>"CUSTO MENSAL"</f>
        <v>CUSTO MENSAL</v>
      </c>
      <c r="C41" s="69"/>
      <c r="D41" s="69"/>
      <c r="E41" s="69"/>
      <c r="F41" s="69"/>
      <c r="J41" s="29"/>
    </row>
    <row r="42" spans="1:11" ht="8.25" hidden="1" customHeight="1" x14ac:dyDescent="0.25">
      <c r="B42" s="24"/>
      <c r="C42" s="24"/>
      <c r="D42" s="24"/>
      <c r="E42" s="24"/>
      <c r="F42" s="22"/>
      <c r="J42" s="29"/>
    </row>
    <row r="43" spans="1:11" ht="15" hidden="1" customHeight="1" x14ac:dyDescent="0.25">
      <c r="B43" s="68" t="s">
        <v>62</v>
      </c>
      <c r="C43" s="68"/>
      <c r="D43" s="68"/>
      <c r="E43" s="68"/>
      <c r="F43" s="37" t="e">
        <f>F35*#REF!</f>
        <v>#REF!</v>
      </c>
      <c r="G43" s="31"/>
      <c r="H43" s="31"/>
      <c r="I43" s="31"/>
      <c r="J43" s="31"/>
      <c r="K43" s="31"/>
    </row>
    <row r="44" spans="1:11" hidden="1" x14ac:dyDescent="0.25">
      <c r="B44" s="24"/>
      <c r="C44" s="24"/>
      <c r="D44" s="24"/>
      <c r="E44" s="24"/>
      <c r="F44" s="22"/>
      <c r="H44" s="32"/>
      <c r="I44" s="32"/>
      <c r="J44" s="32"/>
      <c r="K44" s="32"/>
    </row>
    <row r="45" spans="1:11" ht="15" hidden="1" customHeight="1" x14ac:dyDescent="0.25">
      <c r="B45" s="68" t="s">
        <v>63</v>
      </c>
      <c r="C45" s="68"/>
      <c r="D45" s="68"/>
      <c r="E45" s="68"/>
      <c r="F45" s="38" t="e">
        <f>F37*#REF!</f>
        <v>#REF!</v>
      </c>
      <c r="G45" s="34"/>
      <c r="H45" s="35"/>
      <c r="I45" s="35"/>
    </row>
    <row r="46" spans="1:11" hidden="1" x14ac:dyDescent="0.25">
      <c r="B46" s="24"/>
      <c r="C46" s="24"/>
      <c r="D46" s="24"/>
      <c r="E46" s="24"/>
      <c r="F46" s="22"/>
      <c r="G46" s="8"/>
      <c r="H46" s="8"/>
      <c r="I46" s="8"/>
      <c r="J46" s="8"/>
      <c r="K46" s="8"/>
    </row>
    <row r="47" spans="1:11" ht="15" hidden="1" customHeight="1" x14ac:dyDescent="0.25">
      <c r="B47" s="68" t="s">
        <v>64</v>
      </c>
      <c r="C47" s="68"/>
      <c r="D47" s="68"/>
      <c r="E47" s="68"/>
      <c r="F47" s="37" t="e">
        <f>F43+F45</f>
        <v>#REF!</v>
      </c>
      <c r="G47" s="31"/>
      <c r="H47" s="27"/>
      <c r="I47" s="31"/>
      <c r="J47" s="31"/>
      <c r="K47" s="31"/>
    </row>
    <row r="48" spans="1:11" hidden="1" x14ac:dyDescent="0.25">
      <c r="B48" s="24"/>
      <c r="C48" s="24"/>
      <c r="D48" s="24"/>
      <c r="E48" s="24"/>
      <c r="F48" s="22"/>
      <c r="H48" s="32"/>
      <c r="I48" s="32"/>
      <c r="J48" s="32"/>
      <c r="K48" s="32"/>
    </row>
    <row r="49" spans="1:11" ht="15.75" hidden="1" thickBot="1" x14ac:dyDescent="0.3">
      <c r="B49" s="69" t="e">
        <f>"CUSTO ANUAL* (" &amp;#REF! &amp; " DIAS LETIVOS)"</f>
        <v>#REF!</v>
      </c>
      <c r="C49" s="69"/>
      <c r="D49" s="69"/>
      <c r="E49" s="69"/>
      <c r="F49" s="69"/>
      <c r="J49" s="29"/>
    </row>
    <row r="50" spans="1:11" ht="8.25" hidden="1" customHeight="1" x14ac:dyDescent="0.25">
      <c r="B50" s="24"/>
      <c r="C50" s="24"/>
      <c r="D50" s="24"/>
      <c r="E50" s="24"/>
      <c r="F50" s="22"/>
      <c r="J50" s="29"/>
    </row>
    <row r="51" spans="1:11" ht="15" hidden="1" customHeight="1" x14ac:dyDescent="0.25">
      <c r="B51" s="70" t="s">
        <v>62</v>
      </c>
      <c r="C51" s="70"/>
      <c r="D51" s="70"/>
      <c r="E51" s="70"/>
      <c r="F51" s="39" t="e">
        <f>#REF!*#REF!*#REF!</f>
        <v>#REF!</v>
      </c>
      <c r="G51" s="34"/>
      <c r="H51" s="35"/>
      <c r="I51" s="35"/>
    </row>
    <row r="52" spans="1:11" hidden="1" x14ac:dyDescent="0.25">
      <c r="B52" s="24"/>
      <c r="C52" s="24"/>
      <c r="D52" s="24"/>
      <c r="E52" s="24"/>
      <c r="F52" s="22"/>
      <c r="H52" s="32"/>
      <c r="I52" s="32"/>
      <c r="J52" s="32"/>
      <c r="K52" s="32"/>
    </row>
    <row r="53" spans="1:11" ht="15" hidden="1" customHeight="1" x14ac:dyDescent="0.25">
      <c r="B53" s="70" t="s">
        <v>63</v>
      </c>
      <c r="C53" s="70"/>
      <c r="D53" s="70"/>
      <c r="E53" s="70"/>
      <c r="F53" s="39" t="e">
        <f>#REF!*#REF!*#REF!</f>
        <v>#REF!</v>
      </c>
      <c r="G53" s="34"/>
      <c r="H53" s="35"/>
      <c r="I53" s="35"/>
    </row>
    <row r="54" spans="1:11" hidden="1" x14ac:dyDescent="0.25">
      <c r="B54" s="24"/>
      <c r="C54" s="24"/>
      <c r="D54" s="24"/>
      <c r="E54" s="24"/>
      <c r="F54" s="22"/>
      <c r="H54" s="32"/>
      <c r="I54" s="32"/>
      <c r="J54" s="32"/>
      <c r="K54" s="32"/>
    </row>
    <row r="55" spans="1:11" ht="15" hidden="1" customHeight="1" x14ac:dyDescent="0.25">
      <c r="B55" s="70" t="s">
        <v>64</v>
      </c>
      <c r="C55" s="70"/>
      <c r="D55" s="70"/>
      <c r="E55" s="70"/>
      <c r="F55" s="39" t="e">
        <f>F51+F53</f>
        <v>#REF!</v>
      </c>
      <c r="G55" s="34"/>
      <c r="H55" s="35"/>
      <c r="I55" s="35"/>
    </row>
    <row r="56" spans="1:11" ht="12" customHeight="1" x14ac:dyDescent="0.25">
      <c r="F56" s="55"/>
      <c r="H56" s="55"/>
    </row>
    <row r="57" spans="1:11" ht="15.75" thickBot="1" x14ac:dyDescent="0.3">
      <c r="B57" s="40" t="s">
        <v>65</v>
      </c>
      <c r="C57" s="40"/>
      <c r="D57" s="40"/>
      <c r="E57" s="40"/>
      <c r="F57" s="40"/>
      <c r="G57" s="40"/>
      <c r="H57" s="40"/>
      <c r="I57" s="40"/>
      <c r="J57" s="40"/>
      <c r="K57" s="41"/>
    </row>
    <row r="58" spans="1:11" x14ac:dyDescent="0.25">
      <c r="A58" s="1"/>
      <c r="B58" s="42" t="s">
        <v>66</v>
      </c>
      <c r="C58" s="2" t="e">
        <f>#REF!</f>
        <v>#REF!</v>
      </c>
    </row>
    <row r="59" spans="1:11" x14ac:dyDescent="0.25">
      <c r="A59" s="1"/>
      <c r="B59" s="42" t="s">
        <v>67</v>
      </c>
      <c r="C59" s="2" t="s">
        <v>68</v>
      </c>
    </row>
    <row r="60" spans="1:11" x14ac:dyDescent="0.25">
      <c r="A60" s="1"/>
      <c r="B60" s="42" t="s">
        <v>69</v>
      </c>
      <c r="C60" s="60" t="s">
        <v>70</v>
      </c>
    </row>
    <row r="61" spans="1:11" x14ac:dyDescent="0.25">
      <c r="A61" s="1"/>
      <c r="B61" s="42" t="s">
        <v>71</v>
      </c>
      <c r="C61" s="2" t="e">
        <f>"Preço médio de cotação de preços em revendedores de pneus no ES - pneu medida " &amp;#REF!</f>
        <v>#REF!</v>
      </c>
    </row>
    <row r="62" spans="1:11" x14ac:dyDescent="0.25">
      <c r="A62" s="1"/>
      <c r="B62" s="42" t="s">
        <v>72</v>
      </c>
      <c r="C62" s="43" t="e">
        <f>#REF!</f>
        <v>#REF!</v>
      </c>
    </row>
    <row r="63" spans="1:11" x14ac:dyDescent="0.25">
      <c r="A63" s="1"/>
      <c r="B63" s="42" t="s">
        <v>73</v>
      </c>
      <c r="C63" s="71" t="s">
        <v>74</v>
      </c>
      <c r="D63" s="71"/>
      <c r="E63" s="71"/>
      <c r="F63" s="71"/>
      <c r="G63" s="71"/>
      <c r="H63" s="71"/>
      <c r="I63" s="71"/>
      <c r="J63" s="71"/>
      <c r="K63" s="71"/>
    </row>
    <row r="64" spans="1:11" x14ac:dyDescent="0.25">
      <c r="A64" s="1"/>
      <c r="B64" s="42" t="s">
        <v>75</v>
      </c>
      <c r="C64" s="66" t="s">
        <v>76</v>
      </c>
      <c r="D64" s="66"/>
      <c r="E64" s="66"/>
      <c r="F64" s="66"/>
      <c r="G64" s="66"/>
      <c r="H64" s="66"/>
      <c r="I64" s="66"/>
      <c r="J64" s="66"/>
    </row>
    <row r="65" spans="1:11" x14ac:dyDescent="0.25">
      <c r="A65" s="1"/>
      <c r="B65" s="42" t="s">
        <v>77</v>
      </c>
      <c r="C65" s="66" t="s">
        <v>78</v>
      </c>
      <c r="D65" s="66"/>
      <c r="E65" s="66"/>
      <c r="F65" s="66"/>
      <c r="G65" s="66"/>
      <c r="H65" s="66"/>
      <c r="I65" s="66"/>
      <c r="J65" s="66"/>
    </row>
    <row r="66" spans="1:11" x14ac:dyDescent="0.25">
      <c r="A66" s="1"/>
      <c r="B66" s="42" t="s">
        <v>79</v>
      </c>
      <c r="C66" s="44" t="s">
        <v>80</v>
      </c>
    </row>
    <row r="67" spans="1:11" ht="32.25" customHeight="1" x14ac:dyDescent="0.25">
      <c r="A67" s="1"/>
      <c r="B67" s="42" t="s">
        <v>81</v>
      </c>
      <c r="C67" s="66" t="s">
        <v>82</v>
      </c>
      <c r="D67" s="66"/>
      <c r="E67" s="66"/>
      <c r="F67" s="66"/>
      <c r="G67" s="66"/>
      <c r="H67" s="66"/>
      <c r="I67" s="66"/>
      <c r="J67" s="66"/>
      <c r="K67" s="66"/>
    </row>
    <row r="68" spans="1:11" x14ac:dyDescent="0.25">
      <c r="A68" s="1"/>
      <c r="B68" s="42" t="s">
        <v>83</v>
      </c>
      <c r="C68" s="44" t="s">
        <v>84</v>
      </c>
    </row>
    <row r="69" spans="1:11" ht="15" customHeight="1" x14ac:dyDescent="0.25">
      <c r="A69" s="1"/>
      <c r="B69" s="42" t="s">
        <v>85</v>
      </c>
      <c r="C69" s="2" t="s">
        <v>86</v>
      </c>
      <c r="D69" s="2"/>
      <c r="E69" s="2"/>
      <c r="F69" s="2"/>
      <c r="G69" s="2"/>
      <c r="H69" s="58"/>
      <c r="I69" s="58"/>
      <c r="J69" s="58"/>
    </row>
    <row r="70" spans="1:11" ht="15" customHeight="1" x14ac:dyDescent="0.25">
      <c r="A70" s="1"/>
      <c r="B70" s="42" t="s">
        <v>87</v>
      </c>
      <c r="C70" s="2" t="s">
        <v>88</v>
      </c>
      <c r="D70" s="2"/>
      <c r="E70" s="2"/>
      <c r="F70" s="2"/>
      <c r="G70" s="2"/>
      <c r="H70" s="58"/>
      <c r="I70" s="58"/>
      <c r="J70" s="58"/>
    </row>
    <row r="71" spans="1:11" ht="15" customHeight="1" thickBot="1" x14ac:dyDescent="0.3">
      <c r="A71" s="1"/>
      <c r="B71" s="45" t="s">
        <v>91</v>
      </c>
      <c r="C71" s="46" t="s">
        <v>92</v>
      </c>
      <c r="D71" s="46"/>
      <c r="E71" s="46"/>
      <c r="F71" s="46"/>
      <c r="G71" s="46"/>
      <c r="H71" s="47"/>
      <c r="I71" s="47"/>
      <c r="J71" s="47"/>
      <c r="K71" s="41"/>
    </row>
    <row r="72" spans="1:11" x14ac:dyDescent="0.25">
      <c r="A72" s="1"/>
      <c r="B72" s="42" t="s">
        <v>93</v>
      </c>
      <c r="C72" s="2" t="s">
        <v>94</v>
      </c>
    </row>
    <row r="73" spans="1:11" ht="15" customHeight="1" x14ac:dyDescent="0.25">
      <c r="A73" s="1"/>
      <c r="B73" s="42" t="s">
        <v>95</v>
      </c>
      <c r="C73" s="2" t="s">
        <v>94</v>
      </c>
      <c r="D73" s="58"/>
      <c r="E73" s="58"/>
      <c r="F73" s="58"/>
      <c r="G73" s="58"/>
      <c r="H73" s="58"/>
      <c r="I73" s="58"/>
      <c r="J73" s="58"/>
    </row>
    <row r="74" spans="1:11" ht="15" customHeight="1" x14ac:dyDescent="0.25">
      <c r="A74" s="1"/>
      <c r="B74" s="42" t="s">
        <v>97</v>
      </c>
      <c r="C74" s="2" t="s">
        <v>94</v>
      </c>
      <c r="D74" s="58"/>
      <c r="E74" s="58"/>
      <c r="F74" s="58"/>
      <c r="G74" s="58"/>
      <c r="H74" s="58"/>
      <c r="I74" s="58"/>
      <c r="J74" s="58"/>
    </row>
    <row r="75" spans="1:11" ht="15" customHeight="1" x14ac:dyDescent="0.25">
      <c r="A75" s="1"/>
      <c r="B75" s="42" t="s">
        <v>98</v>
      </c>
      <c r="C75" s="2" t="s">
        <v>94</v>
      </c>
      <c r="D75" s="58"/>
      <c r="E75" s="58"/>
      <c r="F75" s="58"/>
      <c r="G75" s="58"/>
      <c r="H75" s="58"/>
      <c r="I75" s="58"/>
      <c r="J75" s="58"/>
    </row>
    <row r="76" spans="1:11" ht="15" customHeight="1" x14ac:dyDescent="0.25">
      <c r="A76" s="1"/>
      <c r="B76" s="42" t="s">
        <v>99</v>
      </c>
      <c r="C76" s="2" t="s">
        <v>94</v>
      </c>
      <c r="D76" s="58"/>
      <c r="E76" s="58"/>
      <c r="F76" s="58"/>
      <c r="G76" s="58"/>
      <c r="H76" s="58"/>
      <c r="I76" s="58"/>
      <c r="J76" s="58"/>
    </row>
    <row r="77" spans="1:11" ht="15.75" thickBot="1" x14ac:dyDescent="0.3">
      <c r="A77" s="1"/>
      <c r="B77" s="45" t="s">
        <v>100</v>
      </c>
      <c r="C77" s="48" t="e">
        <f>IF(D13="","% do valor do salário motorista e monitor. Valor apurado por estudo da Universidade Federal de Minas Gerais - UFMG.",D13*100&amp;"% do valor do salário motorista e monitor. Valor apurado por estudo da Universidade Federal de Minas Gerais - UFMG.")</f>
        <v>#REF!</v>
      </c>
      <c r="D77" s="41"/>
      <c r="E77" s="41"/>
      <c r="F77" s="41"/>
      <c r="G77" s="41"/>
      <c r="H77" s="41"/>
      <c r="I77" s="41"/>
      <c r="J77" s="41"/>
      <c r="K77" s="41"/>
    </row>
    <row r="78" spans="1:11" x14ac:dyDescent="0.25">
      <c r="A78" s="1"/>
      <c r="B78" s="42" t="s">
        <v>101</v>
      </c>
      <c r="C78" s="44" t="s">
        <v>102</v>
      </c>
    </row>
    <row r="79" spans="1:11" x14ac:dyDescent="0.25">
      <c r="A79" s="1"/>
      <c r="B79" s="42" t="s">
        <v>103</v>
      </c>
      <c r="C79" s="44" t="e">
        <f>"Todos os custos variáveis são acrescidos de " &amp; (K5-1)*100 &amp;"% para vias não pavimentadas (terra) quando comparados com uma via pavimentada (asfalto)."</f>
        <v>#REF!</v>
      </c>
    </row>
    <row r="80" spans="1:11" x14ac:dyDescent="0.25">
      <c r="A80" s="1"/>
      <c r="B80" s="42" t="s">
        <v>104</v>
      </c>
      <c r="C80" s="2" t="s">
        <v>105</v>
      </c>
      <c r="K80" s="2"/>
    </row>
    <row r="81" spans="1:11" x14ac:dyDescent="0.25">
      <c r="A81" s="1"/>
      <c r="B81" s="42" t="s">
        <v>106</v>
      </c>
      <c r="C81" s="2" t="s">
        <v>107</v>
      </c>
      <c r="K81" s="2"/>
    </row>
    <row r="82" spans="1:11" x14ac:dyDescent="0.25">
      <c r="A82" s="1"/>
      <c r="B82" s="42" t="s">
        <v>108</v>
      </c>
      <c r="C82" s="2" t="s">
        <v>109</v>
      </c>
      <c r="K82" s="2"/>
    </row>
    <row r="83" spans="1:11" ht="15.75" thickBot="1" x14ac:dyDescent="0.3">
      <c r="A83" s="1"/>
      <c r="B83" s="45" t="s">
        <v>110</v>
      </c>
      <c r="C83" s="46" t="s">
        <v>111</v>
      </c>
      <c r="D83" s="41"/>
      <c r="E83" s="41"/>
      <c r="F83" s="41"/>
      <c r="G83" s="41"/>
      <c r="H83" s="41"/>
      <c r="I83" s="41"/>
      <c r="J83" s="41"/>
      <c r="K83" s="46"/>
    </row>
    <row r="84" spans="1:11" x14ac:dyDescent="0.25">
      <c r="A84" s="1"/>
      <c r="B84" s="42" t="s">
        <v>112</v>
      </c>
      <c r="C84" s="67" t="e">
        <f>B25*100&amp;"% do total das despesas."</f>
        <v>#REF!</v>
      </c>
      <c r="D84" s="67"/>
      <c r="E84" s="67"/>
      <c r="F84" s="67"/>
      <c r="G84" s="67"/>
      <c r="H84" s="67"/>
      <c r="I84" s="67"/>
      <c r="J84" s="67"/>
      <c r="K84" s="67"/>
    </row>
    <row r="85" spans="1:11" x14ac:dyDescent="0.25">
      <c r="A85" s="1"/>
      <c r="B85" s="42" t="s">
        <v>113</v>
      </c>
      <c r="C85" s="2" t="e">
        <f>C25*100&amp;"% do total das despesas."</f>
        <v>#REF!</v>
      </c>
      <c r="K85" s="2"/>
    </row>
    <row r="86" spans="1:11" x14ac:dyDescent="0.25">
      <c r="A86" s="1"/>
      <c r="B86" s="42" t="s">
        <v>114</v>
      </c>
      <c r="C86" s="2" t="e">
        <f>D25*100 &amp; "% referente ao Programa de Integração Social - PIS."</f>
        <v>#REF!</v>
      </c>
      <c r="K86" s="2"/>
    </row>
    <row r="87" spans="1:11" x14ac:dyDescent="0.25">
      <c r="A87" s="1"/>
      <c r="B87" s="42" t="s">
        <v>115</v>
      </c>
      <c r="C87" s="2" t="e">
        <f>E25*100 &amp; "% referente a Contribuição para o Financiamento da Seguridade Social - COFINS."</f>
        <v>#REF!</v>
      </c>
      <c r="K87" s="2"/>
    </row>
    <row r="88" spans="1:11" x14ac:dyDescent="0.25">
      <c r="A88" s="1"/>
      <c r="B88" s="42" t="s">
        <v>116</v>
      </c>
      <c r="C88" s="2" t="e">
        <f>F25*100 &amp; "% referente ao Imposto Sobre Serviço - ISS. O valor do ISS varia de acordo com o município."</f>
        <v>#REF!</v>
      </c>
      <c r="K88" s="2"/>
    </row>
    <row r="89" spans="1:11" ht="14.25" customHeight="1" thickBot="1" x14ac:dyDescent="0.3">
      <c r="A89" s="1"/>
      <c r="B89" s="45" t="s">
        <v>117</v>
      </c>
      <c r="C89" s="46" t="s">
        <v>118</v>
      </c>
      <c r="D89" s="41"/>
      <c r="E89" s="41"/>
      <c r="F89" s="41"/>
      <c r="G89" s="41"/>
      <c r="H89" s="41"/>
      <c r="I89" s="41"/>
      <c r="J89" s="41"/>
      <c r="K89" s="46"/>
    </row>
    <row r="90" spans="1:11" x14ac:dyDescent="0.25">
      <c r="A90" s="1"/>
      <c r="B90" s="42" t="s">
        <v>119</v>
      </c>
      <c r="C90" s="2" t="s">
        <v>127</v>
      </c>
      <c r="D90" s="2"/>
      <c r="E90" s="2"/>
      <c r="K90" s="2"/>
    </row>
    <row r="91" spans="1:11" x14ac:dyDescent="0.25">
      <c r="A91" s="1"/>
      <c r="B91" s="42" t="s">
        <v>121</v>
      </c>
      <c r="C91" s="2" t="s">
        <v>127</v>
      </c>
      <c r="K91" s="2"/>
    </row>
    <row r="92" spans="1:11" ht="15.75" thickBot="1" x14ac:dyDescent="0.3">
      <c r="A92" s="1"/>
      <c r="B92" s="45" t="s">
        <v>123</v>
      </c>
      <c r="C92" s="46" t="s">
        <v>128</v>
      </c>
      <c r="D92" s="41"/>
      <c r="E92" s="41"/>
      <c r="F92" s="41"/>
      <c r="G92" s="41"/>
      <c r="H92" s="41"/>
      <c r="I92" s="41"/>
      <c r="J92" s="41"/>
      <c r="K92" s="46"/>
    </row>
  </sheetData>
  <protectedRanges>
    <protectedRange sqref="I5" name="Dados de Entrada_5_1"/>
    <protectedRange sqref="D18:F18" name="Dados de Entrada_4_1"/>
  </protectedRanges>
  <mergeCells count="29">
    <mergeCell ref="G23:G24"/>
    <mergeCell ref="B27:F27"/>
    <mergeCell ref="B1:K1"/>
    <mergeCell ref="B3:K3"/>
    <mergeCell ref="B11:I11"/>
    <mergeCell ref="B16:G16"/>
    <mergeCell ref="B22:G22"/>
    <mergeCell ref="B7:K7"/>
    <mergeCell ref="B43:E43"/>
    <mergeCell ref="B45:E45"/>
    <mergeCell ref="B23:B24"/>
    <mergeCell ref="C23:C24"/>
    <mergeCell ref="D23:F23"/>
    <mergeCell ref="C64:J64"/>
    <mergeCell ref="C65:J65"/>
    <mergeCell ref="C67:K67"/>
    <mergeCell ref="C84:K84"/>
    <mergeCell ref="B31:E31"/>
    <mergeCell ref="B33:E33"/>
    <mergeCell ref="B47:E47"/>
    <mergeCell ref="B49:F49"/>
    <mergeCell ref="B51:E51"/>
    <mergeCell ref="B53:E53"/>
    <mergeCell ref="B55:E55"/>
    <mergeCell ref="C63:K63"/>
    <mergeCell ref="B35:E35"/>
    <mergeCell ref="B37:E37"/>
    <mergeCell ref="B39:E39"/>
    <mergeCell ref="B41:F41"/>
  </mergeCells>
  <hyperlinks>
    <hyperlink ref="C60" r:id="rId1" xr:uid="{00000000-0004-0000-0D00-000000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48" orientation="portrait" r:id="rId2"/>
  <headerFooter>
    <oddHeader>&amp;R&amp;D</oddHeader>
    <oddFooter>&amp;C&amp;F&amp;RPágina &amp;P de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VEÍCULO</vt:lpstr>
      <vt:lpstr>V41 - MONITOR (4H)</vt:lpstr>
      <vt:lpstr>'V41 - MONITOR (4H)'!Area_de_impressao</vt:lpstr>
      <vt:lpstr>VEÍCULO!Area_de_impressao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SEDU</dc:creator>
  <cp:keywords/>
  <dc:description/>
  <cp:lastModifiedBy>Markson Gonçalves Lima</cp:lastModifiedBy>
  <cp:revision/>
  <cp:lastPrinted>2025-09-30T17:53:14Z</cp:lastPrinted>
  <dcterms:created xsi:type="dcterms:W3CDTF">2021-12-28T16:05:48Z</dcterms:created>
  <dcterms:modified xsi:type="dcterms:W3CDTF">2026-01-15T18:14:55Z</dcterms:modified>
  <cp:category/>
  <cp:contentStatus/>
</cp:coreProperties>
</file>