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dorseduesgov-my.sharepoint.com/personal/mglima_sedu_es_gov_br/Documents/Desktop/"/>
    </mc:Choice>
  </mc:AlternateContent>
  <xr:revisionPtr revIDLastSave="35" documentId="13_ncr:1_{1289144B-C7D7-4D13-852F-DBBF9846521B}" xr6:coauthVersionLast="47" xr6:coauthVersionMax="47" xr10:uidLastSave="{45787A8C-C907-4AF8-A7F5-BEA9CE3583CC}"/>
  <bookViews>
    <workbookView xWindow="-120" yWindow="-120" windowWidth="29040" windowHeight="15720" firstSheet="2" activeTab="2" xr2:uid="{C2586794-69C2-49BF-BA2A-F6C347AEBCF4}"/>
  </bookViews>
  <sheets>
    <sheet name="INSUMOS ATUAL ESP" sheetId="2" state="hidden" r:id="rId1"/>
    <sheet name="CÁLCULO ESP" sheetId="1" state="hidden" r:id="rId2"/>
    <sheet name="CÁLCULO REFERENCIAL" sheetId="6" r:id="rId3"/>
  </sheets>
  <definedNames>
    <definedName name="_xlnm.Print_Area" localSheetId="1">'CÁLCULO ESP'!$A:$O</definedName>
    <definedName name="_xlnm.Print_Area" localSheetId="2">'CÁLCULO REFERENCIAL'!$A$1:$L$20</definedName>
    <definedName name="_xlnm.Print_Area" localSheetId="0">'INSUMOS ATUAL ESP'!$A$1:$P$28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6" l="1"/>
  <c r="L14" i="6"/>
  <c r="L15" i="6"/>
  <c r="L16" i="6"/>
  <c r="L17" i="6"/>
  <c r="L18" i="6"/>
  <c r="L19" i="6"/>
  <c r="L12" i="6"/>
  <c r="E20" i="6"/>
  <c r="F20" i="6"/>
  <c r="G20" i="6"/>
  <c r="D20" i="6"/>
  <c r="L20" i="6" l="1"/>
  <c r="E11" i="1"/>
  <c r="F11" i="1" s="1"/>
  <c r="E12" i="1"/>
  <c r="F12" i="1"/>
  <c r="E13" i="1"/>
  <c r="F13" i="1"/>
  <c r="E14" i="1"/>
  <c r="F14" i="1"/>
  <c r="E15" i="1"/>
  <c r="F15" i="1" s="1"/>
  <c r="E16" i="1"/>
  <c r="F16" i="1"/>
  <c r="E17" i="1"/>
  <c r="F17" i="1"/>
  <c r="E18" i="1"/>
  <c r="F18" i="1" s="1"/>
  <c r="E19" i="1"/>
  <c r="F19" i="1" s="1"/>
  <c r="E20" i="1"/>
  <c r="F20" i="1"/>
  <c r="E21" i="1"/>
  <c r="F21" i="1"/>
  <c r="E22" i="1"/>
  <c r="F22" i="1"/>
  <c r="E23" i="1"/>
  <c r="F23" i="1" s="1"/>
  <c r="E24" i="1"/>
  <c r="F24" i="1"/>
  <c r="E25" i="1"/>
  <c r="F25" i="1"/>
  <c r="E26" i="1"/>
  <c r="F26" i="1"/>
  <c r="E27" i="1"/>
  <c r="F27" i="1" s="1"/>
  <c r="E28" i="1"/>
  <c r="F28" i="1"/>
  <c r="E29" i="1"/>
  <c r="F29" i="1"/>
  <c r="E10" i="1"/>
  <c r="F10" i="1" s="1"/>
  <c r="F27" i="2" l="1"/>
  <c r="F26" i="2"/>
  <c r="F25" i="2"/>
  <c r="F24" i="2"/>
  <c r="O20" i="2"/>
  <c r="N20" i="2"/>
  <c r="M20" i="2"/>
  <c r="L20" i="2"/>
  <c r="K20" i="2"/>
  <c r="J20" i="2"/>
  <c r="I20" i="2"/>
  <c r="H20" i="2"/>
  <c r="G20" i="2"/>
  <c r="P20" i="2" s="1"/>
  <c r="F20" i="2"/>
  <c r="O19" i="2"/>
  <c r="P19" i="2" s="1"/>
  <c r="N19" i="2"/>
  <c r="M19" i="2"/>
  <c r="L19" i="2"/>
  <c r="K19" i="2"/>
  <c r="J19" i="2"/>
  <c r="I19" i="2"/>
  <c r="H19" i="2"/>
  <c r="G19" i="2"/>
  <c r="F19" i="2"/>
  <c r="O18" i="2"/>
  <c r="N18" i="2"/>
  <c r="M18" i="2"/>
  <c r="L18" i="2"/>
  <c r="K18" i="2"/>
  <c r="J18" i="2"/>
  <c r="I18" i="2"/>
  <c r="H18" i="2"/>
  <c r="G18" i="2"/>
  <c r="F18" i="2"/>
  <c r="O17" i="2"/>
  <c r="N17" i="2"/>
  <c r="M17" i="2"/>
  <c r="L17" i="2"/>
  <c r="K17" i="2"/>
  <c r="J17" i="2"/>
  <c r="I17" i="2"/>
  <c r="H17" i="2"/>
  <c r="G17" i="2"/>
  <c r="P17" i="2" s="1"/>
  <c r="F17" i="2"/>
  <c r="O16" i="2"/>
  <c r="F13" i="2"/>
  <c r="F12" i="2"/>
  <c r="F11" i="2"/>
  <c r="F10" i="2"/>
  <c r="O30" i="1"/>
  <c r="N30" i="1"/>
  <c r="M30" i="1"/>
  <c r="D30" i="1"/>
  <c r="P18" i="2" l="1"/>
</calcChain>
</file>

<file path=xl/sharedStrings.xml><?xml version="1.0" encoding="utf-8"?>
<sst xmlns="http://schemas.openxmlformats.org/spreadsheetml/2006/main" count="210" uniqueCount="126">
  <si>
    <t>GOVERNO DO ESTADO DO ESPÍRITO SANTO</t>
  </si>
  <si>
    <t>SECRETARIA DE ESTADO DA EDUCAÇÃO</t>
  </si>
  <si>
    <t>SUBSECRETARIA DE SUPORTE A EDUCAÇÃO</t>
  </si>
  <si>
    <t>GERÊNCIA DE APOIO ESCOLAR</t>
  </si>
  <si>
    <t>PROGRAMA ESTADUAL DE TRANSPORTE ESCOLAR - PETE</t>
  </si>
  <si>
    <t>CUSTO ESPECÍFICO - MUNICÍPIO DE GUARAPARI</t>
  </si>
  <si>
    <t>Veículo</t>
  </si>
  <si>
    <t>Código da(s) Rota(s)</t>
  </si>
  <si>
    <t>Tipo de Veículo</t>
  </si>
  <si>
    <t>Km Diária</t>
  </si>
  <si>
    <t>Dias Letivos
por Semana</t>
  </si>
  <si>
    <t>Monitor</t>
  </si>
  <si>
    <t>Tipo
Atendimento</t>
  </si>
  <si>
    <t>% Asfalto</t>
  </si>
  <si>
    <t>% Poliedro</t>
  </si>
  <si>
    <t>% Terra</t>
  </si>
  <si>
    <t>Fixo</t>
  </si>
  <si>
    <t>Variável</t>
  </si>
  <si>
    <t>Total</t>
  </si>
  <si>
    <t>20172405001-20232405053</t>
  </si>
  <si>
    <t>08 passageiros</t>
  </si>
  <si>
    <t>NÃO</t>
  </si>
  <si>
    <t>Empresa</t>
  </si>
  <si>
    <t>20232405054-20172405002</t>
  </si>
  <si>
    <t>41 passageiros</t>
  </si>
  <si>
    <t>20232405055-20172405003</t>
  </si>
  <si>
    <t>15 passageiros</t>
  </si>
  <si>
    <t>20232405065-20202405017</t>
  </si>
  <si>
    <t>20172405005-20232405056</t>
  </si>
  <si>
    <t>20172405007-20232405058</t>
  </si>
  <si>
    <t>20172405009-20232405059</t>
  </si>
  <si>
    <t>20232405066-20202405018</t>
  </si>
  <si>
    <t>20172405012-20232405061</t>
  </si>
  <si>
    <t>23 passageiros</t>
  </si>
  <si>
    <t>20232405060-20172405011</t>
  </si>
  <si>
    <t>20202405022-20202405019</t>
  </si>
  <si>
    <t>TOTAL/MÉDIA</t>
  </si>
  <si>
    <t>Informações sobre o cálculo
Resp. Mapas: Markson Gonçalves Lima
Resp. Custo: Markson Gonçalves Lima
Versão Planilha: 8.1.4
Código Custo Específico: A definir</t>
  </si>
  <si>
    <t>Vitória - ES, ____/____/2023.</t>
  </si>
  <si>
    <t xml:space="preserve">Assinatura e carimbo do Engenheiro responsável </t>
  </si>
  <si>
    <t>Obs: NÃO UTILIZAR O KM DIÁRIO DESTA PLANILHA NOS EDITAIS DE LICITAÇÃO, pois para os casos onde temos um mesmo veículo executando rotas dos turnos regular matutino/vespertino e EJA/AEE, utilizamos a quilometragem média diária para realizar os cálculos de custo.
Observação: As capacidades dos veículos definidas pela SEDU são as mínimas exigidas em cada uma das 4 faixas de veículos (08, 15, 23 e 41 passageiros), podendo ser executadas por veículos de maior capacidade nos casos em que a via permita e que não haja prejuízo aos alunos.</t>
  </si>
  <si>
    <t>TABELA DE INSUMOS - GUARAPARI</t>
  </si>
  <si>
    <t>INFORMAÇÕES DOS VEÍCULOS</t>
  </si>
  <si>
    <t>GRUPO</t>
  </si>
  <si>
    <t>ITEM</t>
  </si>
  <si>
    <t>R$</t>
  </si>
  <si>
    <t>Tipo veículo</t>
  </si>
  <si>
    <t>Modelo
Veículo</t>
  </si>
  <si>
    <t>Valor 
Veículo</t>
  </si>
  <si>
    <t>Tipo
Pneu</t>
  </si>
  <si>
    <t>Valor
Pneu</t>
  </si>
  <si>
    <t>Quantidade
Pneus</t>
  </si>
  <si>
    <t>Vida Útil
 (anos)</t>
  </si>
  <si>
    <t>Valor
Residual</t>
  </si>
  <si>
    <t>Salário / Benefícios</t>
  </si>
  <si>
    <t>Motorista de Veículos de 23 e 44 passageiros</t>
  </si>
  <si>
    <t>VW  Kombi Escolar/50 anos 1.4 Mi Total Flex - Ano 2009 – Gasolina</t>
  </si>
  <si>
    <t>185R14</t>
  </si>
  <si>
    <t>Motorista de Veículos de 08 e 15 passageiros</t>
  </si>
  <si>
    <t>Mercedes-Benz  - Sprinter 313 VAN Street Std. 16L. Dies– Ano 2009 – Diesel</t>
  </si>
  <si>
    <t>205/75R16</t>
  </si>
  <si>
    <t>Monitor do Transporte</t>
  </si>
  <si>
    <t>31 NEOBUS - THUNDER + LOT./ESC./ SPTRANS (diesel) - Ano 2010 – Diesel</t>
  </si>
  <si>
    <t>215/75R17,5</t>
  </si>
  <si>
    <t>Ticket/Vale Alimentação</t>
  </si>
  <si>
    <t>Ônibus Urbano - M.BENZ/INDUSCAR APACHE U- Ano 2009 – Diesel</t>
  </si>
  <si>
    <t>275/80R22,5</t>
  </si>
  <si>
    <t>Plano de Saúde</t>
  </si>
  <si>
    <t>Seguro de Vida</t>
  </si>
  <si>
    <t>TAXAS E CUSTOS DOS VEÍCULOS</t>
  </si>
  <si>
    <t>Encargos</t>
  </si>
  <si>
    <t>Encargos Sociais e Trabalhistas</t>
  </si>
  <si>
    <t>Remuneração Capital (% a.m)</t>
  </si>
  <si>
    <t>IPVA
(% a.a)</t>
  </si>
  <si>
    <t>CRLV
(R$/ano)</t>
  </si>
  <si>
    <t>DPVAT
(R$/ano)</t>
  </si>
  <si>
    <t>Vistoria DETRAN
(R$/ano)</t>
  </si>
  <si>
    <t>GPS
(R$/ano)</t>
  </si>
  <si>
    <t>Seguro Pass./Terc.</t>
  </si>
  <si>
    <t>Inspeção Tacógrafo
(R$/ano)</t>
  </si>
  <si>
    <t>Valor Disco Tacógrafo (un)</t>
  </si>
  <si>
    <t>Combustível</t>
  </si>
  <si>
    <t>Gasolina</t>
  </si>
  <si>
    <t>Diesel</t>
  </si>
  <si>
    <t>Dias Letivos</t>
  </si>
  <si>
    <t>Dias Letivos Mês</t>
  </si>
  <si>
    <t>Dias Letivos Ano Regular</t>
  </si>
  <si>
    <t>Dias Letivos Ano EJA</t>
  </si>
  <si>
    <t>Tributação</t>
  </si>
  <si>
    <t>PIS</t>
  </si>
  <si>
    <t>TABELA RESUMO DE CUSTOS FIXOS MENSAIS DOS VEÍCULOS (R$)</t>
  </si>
  <si>
    <t>COFINS</t>
  </si>
  <si>
    <t>Remuneração do Capital</t>
  </si>
  <si>
    <t>Depreciação do veículo</t>
  </si>
  <si>
    <t>CRLV</t>
  </si>
  <si>
    <t>DPVAT</t>
  </si>
  <si>
    <t>IPVA</t>
  </si>
  <si>
    <t>Tacógrafo</t>
  </si>
  <si>
    <t>Vistoria
DETRAN/ITL</t>
  </si>
  <si>
    <t>GPS</t>
  </si>
  <si>
    <t>TOTAL</t>
  </si>
  <si>
    <t>ISS</t>
  </si>
  <si>
    <t>Outros</t>
  </si>
  <si>
    <t>Despesa Administrativa</t>
  </si>
  <si>
    <t>Km para Inspeção do Veículo</t>
  </si>
  <si>
    <r>
      <rPr>
        <b/>
        <sz val="11"/>
        <color theme="1"/>
        <rFont val="Calibri"/>
        <family val="2"/>
        <scheme val="minor"/>
      </rPr>
      <t>Observação:</t>
    </r>
    <r>
      <rPr>
        <sz val="11"/>
        <color theme="1"/>
        <rFont val="Calibri"/>
        <family val="2"/>
        <scheme val="minor"/>
      </rPr>
      <t xml:space="preserve"> As capacidades dos veículos definidas pela SEDU são as mínimas exigidas em cada uma das 4 faixas de veículos (08, 15, 23 e 41 passageiros), podendo ser executadas por veículos de maior capacidade nos casos em que a via permita e que não haja prejuízo aos alunos.</t>
    </r>
  </si>
  <si>
    <t>COEFICIENTES DE CONSUMO DOS VEÍCULOS</t>
  </si>
  <si>
    <t>Lubrificantes</t>
  </si>
  <si>
    <t>Rodagem</t>
  </si>
  <si>
    <t>Manutenção</t>
  </si>
  <si>
    <t>SIM</t>
  </si>
  <si>
    <t>Unidade veículo/ano (a)</t>
  </si>
  <si>
    <t>km npav/diário</t>
  </si>
  <si>
    <t>km pav/diário</t>
  </si>
  <si>
    <t>Meses</t>
  </si>
  <si>
    <t xml:space="preserve">Custo Variável - Pavimentado (cv-pav) </t>
  </si>
  <si>
    <t>Custo Variável - Não Pavimentado (cv-npav)</t>
  </si>
  <si>
    <t>Fixo Mensal</t>
  </si>
  <si>
    <t>Preço total do Item (R$)
= [Cf*a*meses] + [(Cpav*b*dias) + (Cnpav*c*dias)]</t>
  </si>
  <si>
    <t xml:space="preserve">Dias letivos </t>
  </si>
  <si>
    <t xml:space="preserve">TOTAL </t>
  </si>
  <si>
    <t>CUSTO REFERENCIAL - QUANTITATIVO DE VEÍCULO</t>
  </si>
  <si>
    <t>08 Passageiros</t>
  </si>
  <si>
    <t>15 Passageiros</t>
  </si>
  <si>
    <t>23 Passageiros</t>
  </si>
  <si>
    <t>41 Passageiros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</si>
</sst>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R$&quot;* #,##0.00_);_(&quot;R$&quot;* \(#,##0.00\);_(&quot;R$&quot;* &quot;-&quot;??_);_(@_)"/>
    <numFmt numFmtId="165" formatCode="#,##0.0"/>
    <numFmt numFmtId="166" formatCode="&quot;R$&quot;#,##0.00"/>
    <numFmt numFmtId="167" formatCode="_-&quot;R$&quot;* #,##0.00_-;\-&quot;R$&quot;* #,##0.00_-;_-&quot;R$&quot;* &quot;-&quot;??_-;_-@_-"/>
    <numFmt numFmtId="168" formatCode="&quot;R$&quot;\ #,##0.00"/>
    <numFmt numFmtId="169" formatCode="0.0"/>
    <numFmt numFmtId="170" formatCode="0.000000"/>
    <numFmt numFmtId="171" formatCode="[$R$ -416]#,##0.00"/>
    <numFmt numFmtId="172" formatCode="[$R$ -416]#,##0.00&quot;/km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9" fontId="3" fillId="3" borderId="5" xfId="2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166" fontId="0" fillId="6" borderId="6" xfId="0" applyNumberFormat="1" applyFill="1" applyBorder="1" applyAlignment="1">
      <alignment horizontal="center" vertical="center"/>
    </xf>
    <xf numFmtId="167" fontId="0" fillId="0" borderId="0" xfId="0" applyNumberFormat="1" applyAlignment="1">
      <alignment vertical="center"/>
    </xf>
    <xf numFmtId="168" fontId="0" fillId="6" borderId="6" xfId="1" applyNumberFormat="1" applyFont="1" applyFill="1" applyBorder="1" applyAlignment="1">
      <alignment horizontal="center" vertical="center" wrapText="1"/>
    </xf>
    <xf numFmtId="168" fontId="0" fillId="0" borderId="6" xfId="1" applyNumberFormat="1" applyFont="1" applyFill="1" applyBorder="1" applyAlignment="1">
      <alignment horizontal="center" vertical="center" wrapText="1"/>
    </xf>
    <xf numFmtId="1" fontId="0" fillId="0" borderId="6" xfId="1" applyNumberFormat="1" applyFont="1" applyFill="1" applyBorder="1" applyAlignment="1">
      <alignment horizontal="center" vertical="center" wrapText="1"/>
    </xf>
    <xf numFmtId="9" fontId="0" fillId="0" borderId="6" xfId="2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0" fillId="0" borderId="6" xfId="0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10" fontId="0" fillId="6" borderId="6" xfId="2" applyNumberFormat="1" applyFont="1" applyFill="1" applyBorder="1" applyAlignment="1">
      <alignment horizontal="center" vertical="center"/>
    </xf>
    <xf numFmtId="0" fontId="1" fillId="6" borderId="6" xfId="1" applyNumberFormat="1" applyFont="1" applyFill="1" applyBorder="1" applyAlignment="1">
      <alignment horizontal="center" vertical="center" wrapText="1"/>
    </xf>
    <xf numFmtId="9" fontId="5" fillId="0" borderId="6" xfId="2" applyFont="1" applyFill="1" applyBorder="1" applyAlignment="1">
      <alignment horizontal="center" vertical="center"/>
    </xf>
    <xf numFmtId="166" fontId="5" fillId="0" borderId="6" xfId="0" applyNumberFormat="1" applyFont="1" applyBorder="1" applyAlignment="1">
      <alignment horizontal="center" vertical="center"/>
    </xf>
    <xf numFmtId="166" fontId="0" fillId="0" borderId="6" xfId="1" applyNumberFormat="1" applyFont="1" applyFill="1" applyBorder="1" applyAlignment="1">
      <alignment horizontal="center" vertical="center" wrapText="1"/>
    </xf>
    <xf numFmtId="166" fontId="0" fillId="0" borderId="0" xfId="0" applyNumberFormat="1"/>
    <xf numFmtId="9" fontId="0" fillId="0" borderId="6" xfId="2" applyFont="1" applyFill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169" fontId="0" fillId="6" borderId="6" xfId="0" applyNumberFormat="1" applyFill="1" applyBorder="1" applyAlignment="1">
      <alignment horizontal="center" vertical="center"/>
    </xf>
    <xf numFmtId="1" fontId="0" fillId="6" borderId="6" xfId="0" applyNumberFormat="1" applyFill="1" applyBorder="1" applyAlignment="1">
      <alignment horizontal="center" vertical="center"/>
    </xf>
    <xf numFmtId="168" fontId="0" fillId="0" borderId="0" xfId="0" applyNumberFormat="1"/>
    <xf numFmtId="168" fontId="6" fillId="0" borderId="6" xfId="1" applyNumberFormat="1" applyFont="1" applyFill="1" applyBorder="1" applyAlignment="1">
      <alignment horizontal="center" vertical="center"/>
    </xf>
    <xf numFmtId="168" fontId="6" fillId="7" borderId="6" xfId="1" applyNumberFormat="1" applyFont="1" applyFill="1" applyBorder="1" applyAlignment="1">
      <alignment horizontal="center" vertical="center"/>
    </xf>
    <xf numFmtId="168" fontId="0" fillId="0" borderId="0" xfId="0" applyNumberFormat="1" applyAlignment="1">
      <alignment vertical="center"/>
    </xf>
    <xf numFmtId="2" fontId="0" fillId="6" borderId="6" xfId="2" applyNumberFormat="1" applyFont="1" applyFill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70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170" fontId="0" fillId="0" borderId="6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171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3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1" fontId="9" fillId="0" borderId="1" xfId="0" applyNumberFormat="1" applyFont="1" applyBorder="1" applyAlignment="1">
      <alignment horizontal="center" vertical="center"/>
    </xf>
    <xf numFmtId="172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4">
    <cellStyle name="Moeda" xfId="1" builtinId="4"/>
    <cellStyle name="Normal" xfId="0" builtinId="0"/>
    <cellStyle name="Normal 2" xfId="3" xr:uid="{BF9C7786-1D0C-4154-8921-C4605147F82B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99333</xdr:colOff>
      <xdr:row>3</xdr:row>
      <xdr:rowOff>136888</xdr:rowOff>
    </xdr:to>
    <xdr:pic>
      <xdr:nvPicPr>
        <xdr:cNvPr id="2" name="Logo_SEDU">
          <a:extLst>
            <a:ext uri="{FF2B5EF4-FFF2-40B4-BE49-F238E27FC236}">
              <a16:creationId xmlns:a16="http://schemas.microsoft.com/office/drawing/2014/main" id="{A9D91553-BA96-4AC0-89F4-3A1B8EC82F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6" t="2934" r="3410" b="4372"/>
        <a:stretch/>
      </xdr:blipFill>
      <xdr:spPr bwMode="auto">
        <a:xfrm>
          <a:off x="0" y="0"/>
          <a:ext cx="747033" cy="70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14</xdr:col>
      <xdr:colOff>861059</xdr:colOff>
      <xdr:row>3</xdr:row>
      <xdr:rowOff>149184</xdr:rowOff>
    </xdr:to>
    <xdr:pic>
      <xdr:nvPicPr>
        <xdr:cNvPr id="3" name="Logo_onibus">
          <a:extLst>
            <a:ext uri="{FF2B5EF4-FFF2-40B4-BE49-F238E27FC236}">
              <a16:creationId xmlns:a16="http://schemas.microsoft.com/office/drawing/2014/main" id="{754B1B25-B9FF-40CB-A177-9E660BCFE1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03"/>
        <a:stretch/>
      </xdr:blipFill>
      <xdr:spPr>
        <a:xfrm>
          <a:off x="11106150" y="0"/>
          <a:ext cx="861059" cy="7206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202406</xdr:colOff>
      <xdr:row>0</xdr:row>
      <xdr:rowOff>107156</xdr:rowOff>
    </xdr:from>
    <xdr:to>
      <xdr:col>1</xdr:col>
      <xdr:colOff>744916</xdr:colOff>
      <xdr:row>4</xdr:row>
      <xdr:rowOff>53544</xdr:rowOff>
    </xdr:to>
    <xdr:pic>
      <xdr:nvPicPr>
        <xdr:cNvPr id="4" name="Logo_SEDU">
          <a:extLst>
            <a:ext uri="{FF2B5EF4-FFF2-40B4-BE49-F238E27FC236}">
              <a16:creationId xmlns:a16="http://schemas.microsoft.com/office/drawing/2014/main" id="{45293B2B-5BAF-493F-9FBE-7B85B60FE3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6" t="2934" r="3410" b="4372"/>
        <a:stretch/>
      </xdr:blipFill>
      <xdr:spPr bwMode="auto">
        <a:xfrm>
          <a:off x="202406" y="107156"/>
          <a:ext cx="742271" cy="70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796395</xdr:colOff>
      <xdr:row>0</xdr:row>
      <xdr:rowOff>84667</xdr:rowOff>
    </xdr:from>
    <xdr:to>
      <xdr:col>11</xdr:col>
      <xdr:colOff>1658778</xdr:colOff>
      <xdr:row>4</xdr:row>
      <xdr:rowOff>43351</xdr:rowOff>
    </xdr:to>
    <xdr:pic>
      <xdr:nvPicPr>
        <xdr:cNvPr id="6" name="Logo_onibus">
          <a:extLst>
            <a:ext uri="{FF2B5EF4-FFF2-40B4-BE49-F238E27FC236}">
              <a16:creationId xmlns:a16="http://schemas.microsoft.com/office/drawing/2014/main" id="{CD7A4A29-78ED-4D12-9BB9-E9B3963A7C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03"/>
        <a:stretch/>
      </xdr:blipFill>
      <xdr:spPr>
        <a:xfrm>
          <a:off x="13803312" y="84667"/>
          <a:ext cx="862383" cy="72068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0BC1D-E44B-429E-BD0F-723BF445B021}">
  <sheetPr codeName="Plan12">
    <tabColor rgb="FFFFC000"/>
    <pageSetUpPr fitToPage="1"/>
  </sheetPr>
  <dimension ref="B1:Q30"/>
  <sheetViews>
    <sheetView showGridLines="0" zoomScale="55" zoomScaleNormal="55" zoomScaleSheetLayoutView="70" workbookViewId="0">
      <selection activeCell="J32" sqref="J32"/>
    </sheetView>
  </sheetViews>
  <sheetFormatPr defaultColWidth="8.85546875" defaultRowHeight="15" x14ac:dyDescent="0.25"/>
  <cols>
    <col min="1" max="1" width="3.42578125" style="14" customWidth="1"/>
    <col min="2" max="2" width="18.28515625" style="14" bestFit="1" customWidth="1"/>
    <col min="3" max="3" width="50.42578125" style="14" bestFit="1" customWidth="1"/>
    <col min="4" max="4" width="12.85546875" style="14" bestFit="1" customWidth="1"/>
    <col min="5" max="5" width="3.28515625" style="14" customWidth="1"/>
    <col min="6" max="6" width="16.28515625" style="14" customWidth="1"/>
    <col min="7" max="7" width="20.7109375" style="1" customWidth="1"/>
    <col min="8" max="8" width="12.42578125" style="14" bestFit="1" customWidth="1"/>
    <col min="9" max="9" width="13.140625" style="14" customWidth="1"/>
    <col min="10" max="10" width="15" style="14" customWidth="1"/>
    <col min="11" max="11" width="15.140625" style="14" customWidth="1"/>
    <col min="12" max="12" width="15" style="14" customWidth="1"/>
    <col min="13" max="13" width="14.28515625" style="14" customWidth="1"/>
    <col min="14" max="14" width="13.28515625" style="14" customWidth="1"/>
    <col min="15" max="15" width="12.7109375" style="14" customWidth="1"/>
    <col min="16" max="16" width="13.42578125" style="14" customWidth="1"/>
    <col min="17" max="17" width="13.140625" style="14" customWidth="1"/>
    <col min="18" max="16384" width="8.85546875" style="14"/>
  </cols>
  <sheetData>
    <row r="1" spans="2:17" ht="15" customHeight="1" x14ac:dyDescent="0.25">
      <c r="B1" s="63" t="s">
        <v>41</v>
      </c>
      <c r="C1" s="63"/>
      <c r="D1" s="63"/>
      <c r="F1" s="64" t="s">
        <v>42</v>
      </c>
      <c r="G1" s="64"/>
      <c r="H1" s="64"/>
      <c r="I1" s="64"/>
      <c r="J1" s="64"/>
      <c r="K1" s="64"/>
      <c r="L1" s="64"/>
      <c r="M1" s="64"/>
      <c r="N1"/>
    </row>
    <row r="2" spans="2:17" s="1" customFormat="1" ht="30" x14ac:dyDescent="0.25">
      <c r="B2" s="15" t="s">
        <v>43</v>
      </c>
      <c r="C2" s="15" t="s">
        <v>44</v>
      </c>
      <c r="D2" s="15" t="s">
        <v>45</v>
      </c>
      <c r="F2" s="16" t="s">
        <v>46</v>
      </c>
      <c r="G2" s="16" t="s">
        <v>47</v>
      </c>
      <c r="H2" s="16" t="s">
        <v>48</v>
      </c>
      <c r="I2" s="16" t="s">
        <v>49</v>
      </c>
      <c r="J2" s="16" t="s">
        <v>50</v>
      </c>
      <c r="K2" s="16" t="s">
        <v>51</v>
      </c>
      <c r="L2" s="16" t="s">
        <v>52</v>
      </c>
      <c r="M2" s="16" t="s">
        <v>53</v>
      </c>
      <c r="O2" s="14"/>
      <c r="P2" s="14"/>
    </row>
    <row r="3" spans="2:17" ht="45" x14ac:dyDescent="0.25">
      <c r="B3" s="62" t="s">
        <v>54</v>
      </c>
      <c r="C3" s="17" t="s">
        <v>55</v>
      </c>
      <c r="D3" s="18">
        <v>2958.68</v>
      </c>
      <c r="E3" s="19"/>
      <c r="F3" s="20" t="s">
        <v>20</v>
      </c>
      <c r="G3" s="21" t="s">
        <v>56</v>
      </c>
      <c r="H3" s="21">
        <v>30077</v>
      </c>
      <c r="I3" s="21" t="s">
        <v>57</v>
      </c>
      <c r="J3" s="21">
        <v>540.27</v>
      </c>
      <c r="K3" s="22">
        <v>4</v>
      </c>
      <c r="L3" s="22">
        <v>10</v>
      </c>
      <c r="M3" s="23">
        <v>0.2</v>
      </c>
    </row>
    <row r="4" spans="2:17" ht="60" x14ac:dyDescent="0.25">
      <c r="B4" s="62"/>
      <c r="C4" s="17" t="s">
        <v>58</v>
      </c>
      <c r="D4" s="18">
        <v>2958.68</v>
      </c>
      <c r="E4" s="24"/>
      <c r="F4" s="20" t="s">
        <v>26</v>
      </c>
      <c r="G4" s="21" t="s">
        <v>59</v>
      </c>
      <c r="H4" s="21">
        <v>60772</v>
      </c>
      <c r="I4" s="21" t="s">
        <v>60</v>
      </c>
      <c r="J4" s="21">
        <v>722.14</v>
      </c>
      <c r="K4" s="22">
        <v>4</v>
      </c>
      <c r="L4" s="22">
        <v>10</v>
      </c>
      <c r="M4" s="23">
        <v>0.2</v>
      </c>
    </row>
    <row r="5" spans="2:17" ht="75" x14ac:dyDescent="0.25">
      <c r="B5" s="62"/>
      <c r="C5" s="17" t="s">
        <v>61</v>
      </c>
      <c r="D5" s="18">
        <v>1320</v>
      </c>
      <c r="E5" s="24"/>
      <c r="F5" s="20" t="s">
        <v>33</v>
      </c>
      <c r="G5" s="21" t="s">
        <v>62</v>
      </c>
      <c r="H5" s="21">
        <v>88275</v>
      </c>
      <c r="I5" s="21" t="s">
        <v>63</v>
      </c>
      <c r="J5" s="21">
        <v>1340.31</v>
      </c>
      <c r="K5" s="22">
        <v>6</v>
      </c>
      <c r="L5" s="22">
        <v>12</v>
      </c>
      <c r="M5" s="23">
        <v>0.2</v>
      </c>
    </row>
    <row r="6" spans="2:17" ht="60" x14ac:dyDescent="0.25">
      <c r="B6" s="62"/>
      <c r="C6" s="25" t="s">
        <v>64</v>
      </c>
      <c r="D6" s="18">
        <v>916.41</v>
      </c>
      <c r="F6" s="20" t="s">
        <v>24</v>
      </c>
      <c r="G6" s="21" t="s">
        <v>65</v>
      </c>
      <c r="H6" s="21">
        <v>89426</v>
      </c>
      <c r="I6" s="21" t="s">
        <v>66</v>
      </c>
      <c r="J6" s="21">
        <v>2676.78</v>
      </c>
      <c r="K6" s="22">
        <v>6</v>
      </c>
      <c r="L6" s="22">
        <v>12</v>
      </c>
      <c r="M6" s="23">
        <v>0.2</v>
      </c>
    </row>
    <row r="7" spans="2:17" x14ac:dyDescent="0.25">
      <c r="B7" s="62"/>
      <c r="C7" s="17" t="s">
        <v>67</v>
      </c>
      <c r="D7" s="18">
        <v>198</v>
      </c>
    </row>
    <row r="8" spans="2:17" ht="15" customHeight="1" x14ac:dyDescent="0.25">
      <c r="B8" s="62"/>
      <c r="C8" s="17" t="s">
        <v>68</v>
      </c>
      <c r="D8" s="18">
        <v>11</v>
      </c>
      <c r="F8" s="64" t="s">
        <v>69</v>
      </c>
      <c r="G8" s="64"/>
      <c r="H8" s="64"/>
      <c r="I8" s="64"/>
      <c r="J8" s="64"/>
      <c r="K8" s="64"/>
      <c r="L8" s="64"/>
      <c r="M8" s="64"/>
      <c r="N8" s="64"/>
      <c r="O8" s="64"/>
    </row>
    <row r="9" spans="2:17" ht="45" x14ac:dyDescent="0.25">
      <c r="B9" s="26" t="s">
        <v>70</v>
      </c>
      <c r="C9" s="17" t="s">
        <v>71</v>
      </c>
      <c r="D9" s="27">
        <v>0.59809999999999997</v>
      </c>
      <c r="F9" s="16" t="s">
        <v>8</v>
      </c>
      <c r="G9" s="16" t="s">
        <v>72</v>
      </c>
      <c r="H9" s="16" t="s">
        <v>73</v>
      </c>
      <c r="I9" s="16" t="s">
        <v>74</v>
      </c>
      <c r="J9" s="16" t="s">
        <v>75</v>
      </c>
      <c r="K9" s="16" t="s">
        <v>76</v>
      </c>
      <c r="L9" s="16" t="s">
        <v>77</v>
      </c>
      <c r="M9" s="16" t="s">
        <v>78</v>
      </c>
      <c r="N9" s="16" t="s">
        <v>79</v>
      </c>
      <c r="O9" s="16" t="s">
        <v>80</v>
      </c>
      <c r="P9"/>
      <c r="Q9"/>
    </row>
    <row r="10" spans="2:17" x14ac:dyDescent="0.25">
      <c r="B10" s="62" t="s">
        <v>81</v>
      </c>
      <c r="C10" s="17" t="s">
        <v>82</v>
      </c>
      <c r="D10" s="18">
        <v>5.84</v>
      </c>
      <c r="F10" s="28" t="str">
        <f>IF($F$3="","",$F$3)</f>
        <v>08 passageiros</v>
      </c>
      <c r="G10" s="29">
        <v>0.01</v>
      </c>
      <c r="H10" s="29">
        <v>0.01</v>
      </c>
      <c r="I10" s="30">
        <v>206.21</v>
      </c>
      <c r="J10" s="30">
        <v>0</v>
      </c>
      <c r="K10" s="30">
        <v>590</v>
      </c>
      <c r="L10" s="30">
        <v>0</v>
      </c>
      <c r="M10" s="30">
        <v>1547.62</v>
      </c>
      <c r="N10" s="30">
        <v>392.08</v>
      </c>
      <c r="O10" s="31">
        <v>0.5</v>
      </c>
      <c r="P10" s="32"/>
      <c r="Q10"/>
    </row>
    <row r="11" spans="2:17" x14ac:dyDescent="0.25">
      <c r="B11" s="62"/>
      <c r="C11" s="17" t="s">
        <v>83</v>
      </c>
      <c r="D11" s="18">
        <v>5.99</v>
      </c>
      <c r="F11" s="28" t="str">
        <f>IF($F$4="","",$F$4)</f>
        <v>15 passageiros</v>
      </c>
      <c r="G11" s="33">
        <v>0.01</v>
      </c>
      <c r="H11" s="33">
        <v>0.01</v>
      </c>
      <c r="I11" s="34">
        <v>206.21</v>
      </c>
      <c r="J11" s="34">
        <v>0</v>
      </c>
      <c r="K11" s="34">
        <v>590</v>
      </c>
      <c r="L11" s="34">
        <v>0</v>
      </c>
      <c r="M11" s="34">
        <v>1590.18</v>
      </c>
      <c r="N11" s="34">
        <v>392.08</v>
      </c>
      <c r="O11" s="31">
        <v>0.5</v>
      </c>
      <c r="P11" s="32"/>
      <c r="Q11"/>
    </row>
    <row r="12" spans="2:17" x14ac:dyDescent="0.25">
      <c r="B12" s="62" t="s">
        <v>84</v>
      </c>
      <c r="C12" s="35" t="s">
        <v>85</v>
      </c>
      <c r="D12" s="36">
        <v>20.399999999999999</v>
      </c>
      <c r="F12" s="28" t="str">
        <f>IF($F$5="","",$F$5)</f>
        <v>23 passageiros</v>
      </c>
      <c r="G12" s="33">
        <v>0.01</v>
      </c>
      <c r="H12" s="33">
        <v>0.01</v>
      </c>
      <c r="I12" s="34">
        <v>206.21</v>
      </c>
      <c r="J12" s="34">
        <v>0</v>
      </c>
      <c r="K12" s="34">
        <v>590</v>
      </c>
      <c r="L12" s="34">
        <v>0</v>
      </c>
      <c r="M12" s="34">
        <v>1638.81</v>
      </c>
      <c r="N12" s="34">
        <v>392.08</v>
      </c>
      <c r="O12" s="31">
        <v>0.5</v>
      </c>
      <c r="P12"/>
      <c r="Q12"/>
    </row>
    <row r="13" spans="2:17" x14ac:dyDescent="0.25">
      <c r="B13" s="62"/>
      <c r="C13" s="35" t="s">
        <v>86</v>
      </c>
      <c r="D13" s="37">
        <v>204</v>
      </c>
      <c r="F13" s="28" t="str">
        <f>IF($F$6="","",$F$6)</f>
        <v>41 passageiros</v>
      </c>
      <c r="G13" s="33">
        <v>0.01</v>
      </c>
      <c r="H13" s="33">
        <v>0.01</v>
      </c>
      <c r="I13" s="34">
        <v>206.21</v>
      </c>
      <c r="J13" s="34">
        <v>0</v>
      </c>
      <c r="K13" s="34">
        <v>590</v>
      </c>
      <c r="L13" s="34">
        <v>0</v>
      </c>
      <c r="M13" s="34">
        <v>1748.23</v>
      </c>
      <c r="N13" s="34">
        <v>392.08</v>
      </c>
      <c r="O13" s="31">
        <v>0.5</v>
      </c>
      <c r="P13" s="38"/>
      <c r="Q13"/>
    </row>
    <row r="14" spans="2:17" x14ac:dyDescent="0.25">
      <c r="B14" s="62"/>
      <c r="C14" s="35" t="s">
        <v>87</v>
      </c>
      <c r="D14" s="37">
        <v>123</v>
      </c>
    </row>
    <row r="15" spans="2:17" ht="14.45" customHeight="1" x14ac:dyDescent="0.25">
      <c r="B15" s="65" t="s">
        <v>88</v>
      </c>
      <c r="C15" s="35" t="s">
        <v>89</v>
      </c>
      <c r="D15" s="27">
        <v>6.4999999999999997E-3</v>
      </c>
      <c r="F15" s="64" t="s">
        <v>90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</row>
    <row r="16" spans="2:17" ht="30" x14ac:dyDescent="0.25">
      <c r="B16" s="65"/>
      <c r="C16" s="35" t="s">
        <v>91</v>
      </c>
      <c r="D16" s="27">
        <v>0.03</v>
      </c>
      <c r="F16" s="16" t="s">
        <v>46</v>
      </c>
      <c r="G16" s="16" t="s">
        <v>92</v>
      </c>
      <c r="H16" s="16" t="s">
        <v>93</v>
      </c>
      <c r="I16" s="16" t="s">
        <v>94</v>
      </c>
      <c r="J16" s="16" t="s">
        <v>95</v>
      </c>
      <c r="K16" s="16" t="s">
        <v>96</v>
      </c>
      <c r="L16" s="16" t="s">
        <v>97</v>
      </c>
      <c r="M16" s="16" t="s">
        <v>98</v>
      </c>
      <c r="N16" s="16" t="s">
        <v>99</v>
      </c>
      <c r="O16" s="16" t="str">
        <f>M9</f>
        <v>Seguro Pass./Terc.</v>
      </c>
      <c r="P16" s="16" t="s">
        <v>100</v>
      </c>
    </row>
    <row r="17" spans="2:17" x14ac:dyDescent="0.25">
      <c r="B17" s="65"/>
      <c r="C17" s="35" t="s">
        <v>101</v>
      </c>
      <c r="D17" s="27">
        <v>0.03</v>
      </c>
      <c r="F17" s="28" t="str">
        <f>IF($F$3="","",$F$3)</f>
        <v>08 passageiros</v>
      </c>
      <c r="G17" s="21">
        <f>ROUND(((H3-K3*J3)*((1+G10)^12-1))/12,2)</f>
        <v>295.04000000000002</v>
      </c>
      <c r="H17" s="21">
        <f>ROUND(((H3-K3*J3)*(1-M3))/(L3*12),2)</f>
        <v>186.11</v>
      </c>
      <c r="I17" s="39">
        <f>ROUND(I10/12,2)</f>
        <v>17.18</v>
      </c>
      <c r="J17" s="39">
        <f>ROUND(J10/12,2)</f>
        <v>0</v>
      </c>
      <c r="K17" s="39">
        <f>ROUND((H3*H10)/12,2)</f>
        <v>25.06</v>
      </c>
      <c r="L17" s="39">
        <f>ROUND(N10/12+O10*$D$12,2)</f>
        <v>42.87</v>
      </c>
      <c r="M17" s="39">
        <f>ROUND(K10/12,2)</f>
        <v>49.17</v>
      </c>
      <c r="N17" s="39">
        <f>ROUND(L10/12,2)</f>
        <v>0</v>
      </c>
      <c r="O17" s="39">
        <f>ROUND(M10/12,2)</f>
        <v>128.97</v>
      </c>
      <c r="P17" s="40">
        <f>SUM(G17:O17)</f>
        <v>744.4</v>
      </c>
      <c r="Q17" s="41"/>
    </row>
    <row r="18" spans="2:17" x14ac:dyDescent="0.25">
      <c r="B18" s="65" t="s">
        <v>102</v>
      </c>
      <c r="C18" s="25" t="s">
        <v>103</v>
      </c>
      <c r="D18" s="27">
        <v>0.05</v>
      </c>
      <c r="F18" s="28" t="str">
        <f>IF($F$4="","",$F$4)</f>
        <v>15 passageiros</v>
      </c>
      <c r="G18" s="21">
        <f>ROUND(((H4-K4*J4)*((1+G11)^12-1))/12,2)</f>
        <v>611.76</v>
      </c>
      <c r="H18" s="21">
        <f>ROUND(((H4-K4*J4)*(1-M4))/(L4*12),2)</f>
        <v>385.89</v>
      </c>
      <c r="I18" s="39">
        <f t="shared" ref="I18:J20" si="0">ROUND(I11/12,2)</f>
        <v>17.18</v>
      </c>
      <c r="J18" s="39">
        <f t="shared" si="0"/>
        <v>0</v>
      </c>
      <c r="K18" s="39">
        <f t="shared" ref="K18:K20" si="1">ROUND((H4*H11)/12,2)</f>
        <v>50.64</v>
      </c>
      <c r="L18" s="39">
        <f t="shared" ref="L18:L20" si="2">ROUND(N11/12+O11*$D$12,2)</f>
        <v>42.87</v>
      </c>
      <c r="M18" s="39">
        <f t="shared" ref="M18:O20" si="3">ROUND(K11/12,2)</f>
        <v>49.17</v>
      </c>
      <c r="N18" s="39">
        <f t="shared" si="3"/>
        <v>0</v>
      </c>
      <c r="O18" s="39">
        <f t="shared" si="3"/>
        <v>132.52000000000001</v>
      </c>
      <c r="P18" s="40">
        <f>SUM(G18:O18)</f>
        <v>1290.03</v>
      </c>
    </row>
    <row r="19" spans="2:17" x14ac:dyDescent="0.25">
      <c r="B19" s="65"/>
      <c r="C19" s="35" t="s">
        <v>104</v>
      </c>
      <c r="D19" s="42">
        <v>0</v>
      </c>
      <c r="F19" s="28" t="str">
        <f>IF($F$5="","",$F$5)</f>
        <v>23 passageiros</v>
      </c>
      <c r="G19" s="21">
        <f>ROUND(((H5-K5*J5)*((1+G12)^12-1))/12,2)</f>
        <v>847.96</v>
      </c>
      <c r="H19" s="21">
        <f>ROUND(((H5-K5*J5)*(1-M5))/(L5*12),2)</f>
        <v>445.74</v>
      </c>
      <c r="I19" s="39">
        <f t="shared" si="0"/>
        <v>17.18</v>
      </c>
      <c r="J19" s="39">
        <f t="shared" si="0"/>
        <v>0</v>
      </c>
      <c r="K19" s="39">
        <f t="shared" si="1"/>
        <v>73.56</v>
      </c>
      <c r="L19" s="39">
        <f t="shared" si="2"/>
        <v>42.87</v>
      </c>
      <c r="M19" s="39">
        <f t="shared" si="3"/>
        <v>49.17</v>
      </c>
      <c r="N19" s="39">
        <f t="shared" si="3"/>
        <v>0</v>
      </c>
      <c r="O19" s="39">
        <f t="shared" si="3"/>
        <v>136.57</v>
      </c>
      <c r="P19" s="40">
        <f>SUM(G19:O19)</f>
        <v>1613.05</v>
      </c>
    </row>
    <row r="20" spans="2:17" ht="15" customHeight="1" x14ac:dyDescent="0.25">
      <c r="F20" s="28" t="str">
        <f>IF($F$6="","",$F$6)</f>
        <v>41 passageiros</v>
      </c>
      <c r="G20" s="21">
        <f>ROUND(((H6-K6*J6)*((1+G13)^12-1))/12,2)</f>
        <v>775.38</v>
      </c>
      <c r="H20" s="21">
        <f>ROUND(((H6-K6*J6)*(1-M6))/(L6*12),2)</f>
        <v>407.59</v>
      </c>
      <c r="I20" s="39">
        <f t="shared" si="0"/>
        <v>17.18</v>
      </c>
      <c r="J20" s="39">
        <f t="shared" si="0"/>
        <v>0</v>
      </c>
      <c r="K20" s="39">
        <f t="shared" si="1"/>
        <v>74.52</v>
      </c>
      <c r="L20" s="39">
        <f t="shared" si="2"/>
        <v>42.87</v>
      </c>
      <c r="M20" s="39">
        <f t="shared" si="3"/>
        <v>49.17</v>
      </c>
      <c r="N20" s="39">
        <f t="shared" si="3"/>
        <v>0</v>
      </c>
      <c r="O20" s="39">
        <f t="shared" si="3"/>
        <v>145.69</v>
      </c>
      <c r="P20" s="40">
        <f>SUM(G20:O20)</f>
        <v>1512.4</v>
      </c>
    </row>
    <row r="21" spans="2:17" ht="15" customHeight="1" x14ac:dyDescent="0.25">
      <c r="B21" s="66" t="s">
        <v>105</v>
      </c>
      <c r="C21" s="66"/>
      <c r="D21" s="66"/>
      <c r="G21" s="43"/>
      <c r="H21" s="43"/>
      <c r="I21" s="43"/>
      <c r="J21" s="43"/>
      <c r="K21" s="43"/>
      <c r="L21" s="43"/>
      <c r="M21" s="43"/>
      <c r="N21" s="43"/>
      <c r="O21" s="43"/>
    </row>
    <row r="22" spans="2:17" ht="15" customHeight="1" x14ac:dyDescent="0.25">
      <c r="B22" s="66"/>
      <c r="C22" s="66"/>
      <c r="D22" s="66"/>
      <c r="F22" s="64" t="s">
        <v>106</v>
      </c>
      <c r="G22" s="64"/>
      <c r="H22" s="64"/>
      <c r="I22" s="64"/>
      <c r="J22" s="64"/>
      <c r="L22" s="41"/>
      <c r="M22" s="41"/>
    </row>
    <row r="23" spans="2:17" x14ac:dyDescent="0.25">
      <c r="B23" s="66"/>
      <c r="C23" s="66"/>
      <c r="D23" s="66"/>
      <c r="F23" s="16" t="s">
        <v>8</v>
      </c>
      <c r="G23" s="16" t="s">
        <v>81</v>
      </c>
      <c r="H23" s="16" t="s">
        <v>107</v>
      </c>
      <c r="I23" s="16" t="s">
        <v>108</v>
      </c>
      <c r="J23" s="16" t="s">
        <v>109</v>
      </c>
      <c r="L23" s="41"/>
    </row>
    <row r="24" spans="2:17" x14ac:dyDescent="0.25">
      <c r="B24" s="66"/>
      <c r="C24" s="66"/>
      <c r="D24" s="66"/>
      <c r="F24" s="28" t="str">
        <f>IF($F$3="","",$F$3)</f>
        <v>08 passageiros</v>
      </c>
      <c r="G24" s="44">
        <v>0.16667000000000001</v>
      </c>
      <c r="H24" s="44">
        <v>0.04</v>
      </c>
      <c r="I24" s="44">
        <v>8.8888888888888907E-5</v>
      </c>
      <c r="J24" s="44">
        <v>3.3333333333333299E-6</v>
      </c>
      <c r="K24" s="41"/>
    </row>
    <row r="25" spans="2:17" x14ac:dyDescent="0.25">
      <c r="B25" s="45"/>
      <c r="C25" s="45"/>
      <c r="D25" s="45"/>
      <c r="F25" s="28" t="str">
        <f>IF($F$4="","",$F$4)</f>
        <v>15 passageiros</v>
      </c>
      <c r="G25" s="46">
        <v>0.25</v>
      </c>
      <c r="H25" s="46">
        <v>0.04</v>
      </c>
      <c r="I25" s="46">
        <v>8.8888888888888907E-5</v>
      </c>
      <c r="J25" s="46">
        <v>3.3333333333333299E-6</v>
      </c>
    </row>
    <row r="26" spans="2:17" x14ac:dyDescent="0.25">
      <c r="F26" s="28" t="str">
        <f>IF($F$5="","",$F$5)</f>
        <v>23 passageiros</v>
      </c>
      <c r="G26" s="46">
        <v>0.32</v>
      </c>
      <c r="H26" s="46">
        <v>0.05</v>
      </c>
      <c r="I26" s="46">
        <v>8.8888888888888907E-5</v>
      </c>
      <c r="J26" s="46">
        <v>3.3333333333333299E-6</v>
      </c>
    </row>
    <row r="27" spans="2:17" x14ac:dyDescent="0.25">
      <c r="F27" s="28" t="str">
        <f>IF($F$6="","",$F$6)</f>
        <v>41 passageiros</v>
      </c>
      <c r="G27" s="46">
        <v>0.35</v>
      </c>
      <c r="H27" s="46">
        <v>0.06</v>
      </c>
      <c r="I27" s="46">
        <v>8.8888888888888907E-5</v>
      </c>
      <c r="J27" s="46">
        <v>3.3333333333333299E-6</v>
      </c>
    </row>
    <row r="28" spans="2:17" x14ac:dyDescent="0.25">
      <c r="G28" s="14"/>
    </row>
    <row r="29" spans="2:17" x14ac:dyDescent="0.25">
      <c r="G29" s="14"/>
    </row>
    <row r="30" spans="2:17" x14ac:dyDescent="0.25">
      <c r="G30" s="14"/>
    </row>
  </sheetData>
  <protectedRanges>
    <protectedRange sqref="H24:J24 H10:J10" name="Dados de Entrada_4_1"/>
  </protectedRanges>
  <mergeCells count="11">
    <mergeCell ref="B15:B17"/>
    <mergeCell ref="F15:P15"/>
    <mergeCell ref="B18:B19"/>
    <mergeCell ref="B21:D24"/>
    <mergeCell ref="F22:J22"/>
    <mergeCell ref="B12:B14"/>
    <mergeCell ref="B1:D1"/>
    <mergeCell ref="F1:M1"/>
    <mergeCell ref="B3:B8"/>
    <mergeCell ref="F8:O8"/>
    <mergeCell ref="B10:B11"/>
  </mergeCells>
  <pageMargins left="0.51181102362204722" right="0.51181102362204722" top="0.78740157480314965" bottom="0.78740157480314965" header="0.31496062992125984" footer="0.31496062992125984"/>
  <pageSetup paperSize="9" scale="54" fitToHeight="0" orientation="landscape" r:id="rId1"/>
  <colBreaks count="1" manualBreakCount="1">
    <brk id="16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C3AB8-27CE-4842-B5FF-13F92A739BB9}">
  <sheetPr>
    <pageSetUpPr fitToPage="1"/>
  </sheetPr>
  <dimension ref="A1:O33"/>
  <sheetViews>
    <sheetView showGridLines="0" topLeftCell="A7" zoomScale="80" zoomScaleNormal="80" workbookViewId="0">
      <selection activeCell="F35" sqref="F35"/>
    </sheetView>
  </sheetViews>
  <sheetFormatPr defaultRowHeight="15" x14ac:dyDescent="0.25"/>
  <cols>
    <col min="1" max="1" width="9.7109375" style="1" customWidth="1"/>
    <col min="2" max="2" width="20.7109375" style="1" customWidth="1"/>
    <col min="3" max="3" width="17.7109375" style="1" customWidth="1"/>
    <col min="4" max="6" width="12.7109375" style="1" customWidth="1"/>
    <col min="7" max="7" width="14.7109375" style="1" customWidth="1"/>
    <col min="8" max="8" width="12.7109375" style="1" customWidth="1"/>
    <col min="9" max="9" width="15.7109375" style="1" customWidth="1"/>
    <col min="10" max="12" width="11.7109375" style="1" customWidth="1"/>
    <col min="13" max="15" width="13.7109375" style="1" customWidth="1"/>
    <col min="16" max="16384" width="9.140625" style="1"/>
  </cols>
  <sheetData>
    <row r="1" spans="1:1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x14ac:dyDescent="0.25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1:15" x14ac:dyDescent="0.25">
      <c r="A5" s="61" t="s">
        <v>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</row>
    <row r="6" spans="1:15" ht="5.0999999999999996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0.100000000000001" customHeight="1" x14ac:dyDescent="0.25">
      <c r="A7" s="59" t="s">
        <v>5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5" customHeight="1" x14ac:dyDescent="0.25">
      <c r="A9" s="48" t="s">
        <v>6</v>
      </c>
      <c r="B9" s="48" t="s">
        <v>7</v>
      </c>
      <c r="C9" s="48" t="s">
        <v>8</v>
      </c>
      <c r="D9" s="48" t="s">
        <v>9</v>
      </c>
      <c r="E9" s="4" t="s">
        <v>13</v>
      </c>
      <c r="F9" s="4" t="s">
        <v>15</v>
      </c>
      <c r="G9" s="47" t="s">
        <v>10</v>
      </c>
      <c r="H9" s="48" t="s">
        <v>11</v>
      </c>
      <c r="I9" s="47" t="s">
        <v>12</v>
      </c>
      <c r="J9" s="4" t="s">
        <v>13</v>
      </c>
      <c r="K9" s="4" t="s">
        <v>14</v>
      </c>
      <c r="L9" s="4" t="s">
        <v>15</v>
      </c>
      <c r="M9" s="4" t="s">
        <v>16</v>
      </c>
      <c r="N9" s="4" t="s">
        <v>17</v>
      </c>
      <c r="O9" s="4" t="s">
        <v>18</v>
      </c>
    </row>
    <row r="10" spans="1:15" ht="30" x14ac:dyDescent="0.25">
      <c r="A10" s="5">
        <v>1</v>
      </c>
      <c r="B10" s="13" t="s">
        <v>19</v>
      </c>
      <c r="C10" s="5" t="s">
        <v>20</v>
      </c>
      <c r="D10" s="6">
        <v>75.2</v>
      </c>
      <c r="E10" s="6">
        <f>D10*J10</f>
        <v>0</v>
      </c>
      <c r="F10" s="6">
        <f>D10-E10</f>
        <v>75.2</v>
      </c>
      <c r="G10" s="5">
        <v>5</v>
      </c>
      <c r="H10" s="5" t="s">
        <v>21</v>
      </c>
      <c r="I10" s="5" t="s">
        <v>22</v>
      </c>
      <c r="J10" s="7">
        <v>0</v>
      </c>
      <c r="K10" s="7">
        <v>0</v>
      </c>
      <c r="L10" s="7">
        <v>1</v>
      </c>
      <c r="M10" s="8">
        <v>5.8</v>
      </c>
      <c r="N10" s="8">
        <v>2.06</v>
      </c>
      <c r="O10" s="8">
        <v>7.86</v>
      </c>
    </row>
    <row r="11" spans="1:15" ht="30" x14ac:dyDescent="0.25">
      <c r="A11" s="5">
        <v>2</v>
      </c>
      <c r="B11" s="13" t="s">
        <v>23</v>
      </c>
      <c r="C11" s="5" t="s">
        <v>24</v>
      </c>
      <c r="D11" s="6">
        <v>151.6</v>
      </c>
      <c r="E11" s="6">
        <f t="shared" ref="E11:E29" si="0">D11*J11</f>
        <v>0</v>
      </c>
      <c r="F11" s="6">
        <f t="shared" ref="F11:F29" si="1">D11-E11</f>
        <v>151.6</v>
      </c>
      <c r="G11" s="5">
        <v>5</v>
      </c>
      <c r="H11" s="5" t="s">
        <v>21</v>
      </c>
      <c r="I11" s="5" t="s">
        <v>22</v>
      </c>
      <c r="J11" s="7">
        <v>0</v>
      </c>
      <c r="K11" s="7">
        <v>0</v>
      </c>
      <c r="L11" s="7">
        <v>1</v>
      </c>
      <c r="M11" s="8">
        <v>3.21</v>
      </c>
      <c r="N11" s="8">
        <v>4.54</v>
      </c>
      <c r="O11" s="8">
        <v>7.75</v>
      </c>
    </row>
    <row r="12" spans="1:15" ht="30" x14ac:dyDescent="0.25">
      <c r="A12" s="5">
        <v>3</v>
      </c>
      <c r="B12" s="13" t="s">
        <v>25</v>
      </c>
      <c r="C12" s="5" t="s">
        <v>26</v>
      </c>
      <c r="D12" s="6">
        <v>65.2</v>
      </c>
      <c r="E12" s="6">
        <f t="shared" si="0"/>
        <v>0</v>
      </c>
      <c r="F12" s="6">
        <f t="shared" si="1"/>
        <v>65.2</v>
      </c>
      <c r="G12" s="5">
        <v>5</v>
      </c>
      <c r="H12" s="5" t="s">
        <v>21</v>
      </c>
      <c r="I12" s="5" t="s">
        <v>22</v>
      </c>
      <c r="J12" s="7">
        <v>0</v>
      </c>
      <c r="K12" s="7">
        <v>0</v>
      </c>
      <c r="L12" s="7">
        <v>1</v>
      </c>
      <c r="M12" s="8">
        <v>7.25</v>
      </c>
      <c r="N12" s="8">
        <v>3.04</v>
      </c>
      <c r="O12" s="8">
        <v>10.29</v>
      </c>
    </row>
    <row r="13" spans="1:15" ht="30" x14ac:dyDescent="0.25">
      <c r="A13" s="5">
        <v>4</v>
      </c>
      <c r="B13" s="13" t="s">
        <v>27</v>
      </c>
      <c r="C13" s="5" t="s">
        <v>26</v>
      </c>
      <c r="D13" s="6">
        <v>74.7</v>
      </c>
      <c r="E13" s="6">
        <f t="shared" si="0"/>
        <v>6.7980000000000009</v>
      </c>
      <c r="F13" s="6">
        <f t="shared" si="1"/>
        <v>67.902000000000001</v>
      </c>
      <c r="G13" s="5">
        <v>5</v>
      </c>
      <c r="H13" s="5" t="s">
        <v>21</v>
      </c>
      <c r="I13" s="5" t="s">
        <v>22</v>
      </c>
      <c r="J13" s="7">
        <v>9.1004016064257037E-2</v>
      </c>
      <c r="K13" s="7">
        <v>0</v>
      </c>
      <c r="L13" s="7">
        <v>0.90899598393574288</v>
      </c>
      <c r="M13" s="8">
        <v>6.33</v>
      </c>
      <c r="N13" s="8">
        <v>2.97</v>
      </c>
      <c r="O13" s="8">
        <v>9.3000000000000007</v>
      </c>
    </row>
    <row r="14" spans="1:15" ht="30" x14ac:dyDescent="0.25">
      <c r="A14" s="5">
        <v>5</v>
      </c>
      <c r="B14" s="13" t="s">
        <v>28</v>
      </c>
      <c r="C14" s="5" t="s">
        <v>20</v>
      </c>
      <c r="D14" s="6">
        <v>46.9</v>
      </c>
      <c r="E14" s="6">
        <f t="shared" si="0"/>
        <v>0</v>
      </c>
      <c r="F14" s="6">
        <f t="shared" si="1"/>
        <v>46.9</v>
      </c>
      <c r="G14" s="5">
        <v>5</v>
      </c>
      <c r="H14" s="5" t="s">
        <v>21</v>
      </c>
      <c r="I14" s="5" t="s">
        <v>22</v>
      </c>
      <c r="J14" s="7">
        <v>0</v>
      </c>
      <c r="K14" s="7">
        <v>0</v>
      </c>
      <c r="L14" s="7">
        <v>1</v>
      </c>
      <c r="M14" s="8">
        <v>9.31</v>
      </c>
      <c r="N14" s="8">
        <v>2.06</v>
      </c>
      <c r="O14" s="8">
        <v>11.37</v>
      </c>
    </row>
    <row r="15" spans="1:15" x14ac:dyDescent="0.25">
      <c r="A15" s="5">
        <v>6</v>
      </c>
      <c r="B15" s="13">
        <v>20172405006</v>
      </c>
      <c r="C15" s="5" t="s">
        <v>24</v>
      </c>
      <c r="D15" s="6">
        <v>70.599999999999994</v>
      </c>
      <c r="E15" s="6">
        <f t="shared" si="0"/>
        <v>16.238</v>
      </c>
      <c r="F15" s="6">
        <f t="shared" si="1"/>
        <v>54.361999999999995</v>
      </c>
      <c r="G15" s="5">
        <v>5</v>
      </c>
      <c r="H15" s="5" t="s">
        <v>21</v>
      </c>
      <c r="I15" s="5" t="s">
        <v>22</v>
      </c>
      <c r="J15" s="7">
        <v>0.23</v>
      </c>
      <c r="K15" s="7">
        <v>0</v>
      </c>
      <c r="L15" s="7">
        <v>0.76999999999999991</v>
      </c>
      <c r="M15" s="8">
        <v>6.9</v>
      </c>
      <c r="N15" s="8">
        <v>4.2699999999999996</v>
      </c>
      <c r="O15" s="8">
        <v>11.17</v>
      </c>
    </row>
    <row r="16" spans="1:15" ht="30" x14ac:dyDescent="0.25">
      <c r="A16" s="5">
        <v>7</v>
      </c>
      <c r="B16" s="13" t="s">
        <v>29</v>
      </c>
      <c r="C16" s="5" t="s">
        <v>24</v>
      </c>
      <c r="D16" s="6">
        <v>173.8</v>
      </c>
      <c r="E16" s="6">
        <f t="shared" si="0"/>
        <v>45.082000000000001</v>
      </c>
      <c r="F16" s="6">
        <f t="shared" si="1"/>
        <v>128.71800000000002</v>
      </c>
      <c r="G16" s="5">
        <v>5</v>
      </c>
      <c r="H16" s="5" t="s">
        <v>21</v>
      </c>
      <c r="I16" s="5" t="s">
        <v>22</v>
      </c>
      <c r="J16" s="7">
        <v>0.25939010356731873</v>
      </c>
      <c r="K16" s="7">
        <v>0</v>
      </c>
      <c r="L16" s="7">
        <v>0.74060989643268127</v>
      </c>
      <c r="M16" s="8">
        <v>2.8</v>
      </c>
      <c r="N16" s="8">
        <v>4.24</v>
      </c>
      <c r="O16" s="8">
        <v>7.04</v>
      </c>
    </row>
    <row r="17" spans="1:15" x14ac:dyDescent="0.25">
      <c r="A17" s="5">
        <v>8</v>
      </c>
      <c r="B17" s="13">
        <v>20232405070</v>
      </c>
      <c r="C17" s="5" t="s">
        <v>20</v>
      </c>
      <c r="D17" s="6">
        <v>37.6</v>
      </c>
      <c r="E17" s="6">
        <f t="shared" si="0"/>
        <v>8.6480000000000015</v>
      </c>
      <c r="F17" s="6">
        <f t="shared" si="1"/>
        <v>28.951999999999998</v>
      </c>
      <c r="G17" s="5">
        <v>5</v>
      </c>
      <c r="H17" s="5" t="s">
        <v>21</v>
      </c>
      <c r="I17" s="5" t="s">
        <v>22</v>
      </c>
      <c r="J17" s="7">
        <v>0.23000000000000004</v>
      </c>
      <c r="K17" s="7">
        <v>0</v>
      </c>
      <c r="L17" s="7">
        <v>0.77000000000000013</v>
      </c>
      <c r="M17" s="8">
        <v>11.61</v>
      </c>
      <c r="N17" s="8">
        <v>1.94</v>
      </c>
      <c r="O17" s="8">
        <v>13.55</v>
      </c>
    </row>
    <row r="18" spans="1:15" ht="30" x14ac:dyDescent="0.25">
      <c r="A18" s="5">
        <v>9</v>
      </c>
      <c r="B18" s="13" t="s">
        <v>30</v>
      </c>
      <c r="C18" s="5" t="s">
        <v>26</v>
      </c>
      <c r="D18" s="6">
        <v>127.4</v>
      </c>
      <c r="E18" s="6">
        <f t="shared" si="0"/>
        <v>107.8</v>
      </c>
      <c r="F18" s="6">
        <f t="shared" si="1"/>
        <v>19.600000000000009</v>
      </c>
      <c r="G18" s="5">
        <v>5</v>
      </c>
      <c r="H18" s="5" t="s">
        <v>21</v>
      </c>
      <c r="I18" s="5" t="s">
        <v>22</v>
      </c>
      <c r="J18" s="7">
        <v>0.84615384615384615</v>
      </c>
      <c r="K18" s="7">
        <v>0</v>
      </c>
      <c r="L18" s="7">
        <v>0.15384615384615385</v>
      </c>
      <c r="M18" s="8">
        <v>3.71</v>
      </c>
      <c r="N18" s="8">
        <v>2.38</v>
      </c>
      <c r="O18" s="8">
        <v>6.09</v>
      </c>
    </row>
    <row r="19" spans="1:15" ht="30" x14ac:dyDescent="0.25">
      <c r="A19" s="5">
        <v>10</v>
      </c>
      <c r="B19" s="13" t="s">
        <v>31</v>
      </c>
      <c r="C19" s="5" t="s">
        <v>24</v>
      </c>
      <c r="D19" s="6">
        <v>145</v>
      </c>
      <c r="E19" s="6">
        <f t="shared" si="0"/>
        <v>90.243421052631575</v>
      </c>
      <c r="F19" s="6">
        <f t="shared" si="1"/>
        <v>54.756578947368425</v>
      </c>
      <c r="G19" s="5">
        <v>5</v>
      </c>
      <c r="H19" s="5" t="s">
        <v>21</v>
      </c>
      <c r="I19" s="5" t="s">
        <v>22</v>
      </c>
      <c r="J19" s="7">
        <v>0.62236842105263157</v>
      </c>
      <c r="K19" s="7">
        <v>0</v>
      </c>
      <c r="L19" s="7">
        <v>0.37763157894736837</v>
      </c>
      <c r="M19" s="8">
        <v>4.2699999999999996</v>
      </c>
      <c r="N19" s="8">
        <v>3.81</v>
      </c>
      <c r="O19" s="8">
        <v>8.08</v>
      </c>
    </row>
    <row r="20" spans="1:15" ht="30" x14ac:dyDescent="0.25">
      <c r="A20" s="5">
        <v>11</v>
      </c>
      <c r="B20" s="13" t="s">
        <v>32</v>
      </c>
      <c r="C20" s="5" t="s">
        <v>24</v>
      </c>
      <c r="D20" s="6">
        <v>161.4</v>
      </c>
      <c r="E20" s="6">
        <f t="shared" si="0"/>
        <v>129.12</v>
      </c>
      <c r="F20" s="6">
        <f t="shared" si="1"/>
        <v>32.28</v>
      </c>
      <c r="G20" s="5">
        <v>5</v>
      </c>
      <c r="H20" s="5" t="s">
        <v>21</v>
      </c>
      <c r="I20" s="5" t="s">
        <v>22</v>
      </c>
      <c r="J20" s="7">
        <v>0.8</v>
      </c>
      <c r="K20" s="7">
        <v>0</v>
      </c>
      <c r="L20" s="7">
        <v>0.2</v>
      </c>
      <c r="M20" s="8">
        <v>3.95</v>
      </c>
      <c r="N20" s="8">
        <v>3.6</v>
      </c>
      <c r="O20" s="8">
        <v>7.55</v>
      </c>
    </row>
    <row r="21" spans="1:15" x14ac:dyDescent="0.25">
      <c r="A21" s="5">
        <v>12</v>
      </c>
      <c r="B21" s="13">
        <v>20172405014</v>
      </c>
      <c r="C21" s="5" t="s">
        <v>33</v>
      </c>
      <c r="D21" s="6">
        <v>42</v>
      </c>
      <c r="E21" s="6">
        <f t="shared" si="0"/>
        <v>42</v>
      </c>
      <c r="F21" s="6">
        <f t="shared" si="1"/>
        <v>0</v>
      </c>
      <c r="G21" s="5">
        <v>5</v>
      </c>
      <c r="H21" s="5" t="s">
        <v>21</v>
      </c>
      <c r="I21" s="5" t="s">
        <v>22</v>
      </c>
      <c r="J21" s="7">
        <v>1</v>
      </c>
      <c r="K21" s="7">
        <v>0</v>
      </c>
      <c r="L21" s="7">
        <v>0</v>
      </c>
      <c r="M21" s="8">
        <v>11.76</v>
      </c>
      <c r="N21" s="8">
        <v>2.96</v>
      </c>
      <c r="O21" s="8">
        <v>14.72</v>
      </c>
    </row>
    <row r="22" spans="1:15" ht="30" x14ac:dyDescent="0.25">
      <c r="A22" s="5">
        <v>13</v>
      </c>
      <c r="B22" s="13" t="s">
        <v>34</v>
      </c>
      <c r="C22" s="5" t="s">
        <v>20</v>
      </c>
      <c r="D22" s="6">
        <v>113.1</v>
      </c>
      <c r="E22" s="6">
        <f t="shared" si="0"/>
        <v>113.1</v>
      </c>
      <c r="F22" s="6">
        <f t="shared" si="1"/>
        <v>0</v>
      </c>
      <c r="G22" s="5">
        <v>5</v>
      </c>
      <c r="H22" s="5" t="s">
        <v>21</v>
      </c>
      <c r="I22" s="5" t="s">
        <v>22</v>
      </c>
      <c r="J22" s="7">
        <v>1</v>
      </c>
      <c r="K22" s="7">
        <v>0</v>
      </c>
      <c r="L22" s="7">
        <v>0</v>
      </c>
      <c r="M22" s="8">
        <v>3.86</v>
      </c>
      <c r="N22" s="8">
        <v>1.52</v>
      </c>
      <c r="O22" s="8">
        <v>5.38</v>
      </c>
    </row>
    <row r="23" spans="1:15" x14ac:dyDescent="0.25">
      <c r="A23" s="5">
        <v>14</v>
      </c>
      <c r="B23" s="13">
        <v>20172405010</v>
      </c>
      <c r="C23" s="5" t="s">
        <v>26</v>
      </c>
      <c r="D23" s="6">
        <v>38.4</v>
      </c>
      <c r="E23" s="6">
        <f t="shared" si="0"/>
        <v>38.4</v>
      </c>
      <c r="F23" s="6">
        <f t="shared" si="1"/>
        <v>0</v>
      </c>
      <c r="G23" s="5">
        <v>5</v>
      </c>
      <c r="H23" s="5" t="s">
        <v>21</v>
      </c>
      <c r="I23" s="5" t="s">
        <v>22</v>
      </c>
      <c r="J23" s="7">
        <v>1</v>
      </c>
      <c r="K23" s="7">
        <v>0</v>
      </c>
      <c r="L23" s="7">
        <v>0</v>
      </c>
      <c r="M23" s="8">
        <v>12.31</v>
      </c>
      <c r="N23" s="8">
        <v>2.25</v>
      </c>
      <c r="O23" s="8">
        <v>14.56</v>
      </c>
    </row>
    <row r="24" spans="1:15" x14ac:dyDescent="0.25">
      <c r="A24" s="5">
        <v>15</v>
      </c>
      <c r="B24" s="13">
        <v>20172405015</v>
      </c>
      <c r="C24" s="5" t="s">
        <v>24</v>
      </c>
      <c r="D24" s="6">
        <v>55.4</v>
      </c>
      <c r="E24" s="6">
        <f t="shared" si="0"/>
        <v>55.4</v>
      </c>
      <c r="F24" s="6">
        <f t="shared" si="1"/>
        <v>0</v>
      </c>
      <c r="G24" s="5">
        <v>5</v>
      </c>
      <c r="H24" s="5" t="s">
        <v>21</v>
      </c>
      <c r="I24" s="5" t="s">
        <v>22</v>
      </c>
      <c r="J24" s="7">
        <v>1</v>
      </c>
      <c r="K24" s="7">
        <v>0</v>
      </c>
      <c r="L24" s="7">
        <v>0</v>
      </c>
      <c r="M24" s="8">
        <v>8.8000000000000007</v>
      </c>
      <c r="N24" s="8">
        <v>3.37</v>
      </c>
      <c r="O24" s="8">
        <v>12.17</v>
      </c>
    </row>
    <row r="25" spans="1:15" ht="30" x14ac:dyDescent="0.25">
      <c r="A25" s="5">
        <v>16</v>
      </c>
      <c r="B25" s="13" t="s">
        <v>35</v>
      </c>
      <c r="C25" s="5" t="s">
        <v>24</v>
      </c>
      <c r="D25" s="6">
        <v>95.6</v>
      </c>
      <c r="E25" s="6">
        <f t="shared" si="0"/>
        <v>91.050000000000011</v>
      </c>
      <c r="F25" s="6">
        <f t="shared" si="1"/>
        <v>4.5499999999999829</v>
      </c>
      <c r="G25" s="5">
        <v>5</v>
      </c>
      <c r="H25" s="5" t="s">
        <v>21</v>
      </c>
      <c r="I25" s="5" t="s">
        <v>22</v>
      </c>
      <c r="J25" s="7">
        <v>0.95240585774058595</v>
      </c>
      <c r="K25" s="7">
        <v>0</v>
      </c>
      <c r="L25" s="7">
        <v>4.7594142259414225E-2</v>
      </c>
      <c r="M25" s="8">
        <v>5.0999999999999996</v>
      </c>
      <c r="N25" s="8">
        <v>3.42</v>
      </c>
      <c r="O25" s="8">
        <v>8.52</v>
      </c>
    </row>
    <row r="26" spans="1:15" x14ac:dyDescent="0.25">
      <c r="A26" s="5">
        <v>17</v>
      </c>
      <c r="B26" s="13">
        <v>20232405063</v>
      </c>
      <c r="C26" s="5" t="s">
        <v>20</v>
      </c>
      <c r="D26" s="6">
        <v>16.2</v>
      </c>
      <c r="E26" s="6">
        <f t="shared" si="0"/>
        <v>0</v>
      </c>
      <c r="F26" s="6">
        <f t="shared" si="1"/>
        <v>16.2</v>
      </c>
      <c r="G26" s="5">
        <v>3</v>
      </c>
      <c r="H26" s="5" t="s">
        <v>21</v>
      </c>
      <c r="I26" s="5" t="s">
        <v>22</v>
      </c>
      <c r="J26" s="7">
        <v>0</v>
      </c>
      <c r="K26" s="7">
        <v>0</v>
      </c>
      <c r="L26" s="7">
        <v>1</v>
      </c>
      <c r="M26" s="8">
        <v>44.97</v>
      </c>
      <c r="N26" s="8">
        <v>2.06</v>
      </c>
      <c r="O26" s="8">
        <v>47.03</v>
      </c>
    </row>
    <row r="27" spans="1:15" x14ac:dyDescent="0.25">
      <c r="A27" s="5">
        <v>18</v>
      </c>
      <c r="B27" s="13">
        <v>20202405021</v>
      </c>
      <c r="C27" s="5" t="s">
        <v>33</v>
      </c>
      <c r="D27" s="6">
        <v>46.2</v>
      </c>
      <c r="E27" s="6">
        <f t="shared" si="0"/>
        <v>46.2</v>
      </c>
      <c r="F27" s="6">
        <f t="shared" si="1"/>
        <v>0</v>
      </c>
      <c r="G27" s="5">
        <v>3</v>
      </c>
      <c r="H27" s="5" t="s">
        <v>21</v>
      </c>
      <c r="I27" s="5" t="s">
        <v>22</v>
      </c>
      <c r="J27" s="7">
        <v>1</v>
      </c>
      <c r="K27" s="7">
        <v>0</v>
      </c>
      <c r="L27" s="7">
        <v>0</v>
      </c>
      <c r="M27" s="8">
        <v>17.82</v>
      </c>
      <c r="N27" s="8">
        <v>2.96</v>
      </c>
      <c r="O27" s="8">
        <v>20.78</v>
      </c>
    </row>
    <row r="28" spans="1:15" x14ac:dyDescent="0.25">
      <c r="A28" s="5">
        <v>19</v>
      </c>
      <c r="B28" s="13">
        <v>20232405064</v>
      </c>
      <c r="C28" s="5" t="s">
        <v>26</v>
      </c>
      <c r="D28" s="6">
        <v>57.4</v>
      </c>
      <c r="E28" s="6">
        <f t="shared" si="0"/>
        <v>57.4</v>
      </c>
      <c r="F28" s="6">
        <f t="shared" si="1"/>
        <v>0</v>
      </c>
      <c r="G28" s="5">
        <v>5</v>
      </c>
      <c r="H28" s="5" t="s">
        <v>21</v>
      </c>
      <c r="I28" s="5" t="s">
        <v>22</v>
      </c>
      <c r="J28" s="7">
        <v>1</v>
      </c>
      <c r="K28" s="7">
        <v>0</v>
      </c>
      <c r="L28" s="7">
        <v>0</v>
      </c>
      <c r="M28" s="8">
        <v>8.23</v>
      </c>
      <c r="N28" s="8">
        <v>2.25</v>
      </c>
      <c r="O28" s="8">
        <v>10.48</v>
      </c>
    </row>
    <row r="29" spans="1:15" x14ac:dyDescent="0.25">
      <c r="A29" s="5">
        <v>20</v>
      </c>
      <c r="B29" s="13">
        <v>20232405057</v>
      </c>
      <c r="C29" s="5" t="s">
        <v>26</v>
      </c>
      <c r="D29" s="6">
        <v>39.6</v>
      </c>
      <c r="E29" s="6">
        <f t="shared" si="0"/>
        <v>9.1080000000000005</v>
      </c>
      <c r="F29" s="6">
        <f t="shared" si="1"/>
        <v>30.492000000000001</v>
      </c>
      <c r="G29" s="5">
        <v>5</v>
      </c>
      <c r="H29" s="5" t="s">
        <v>21</v>
      </c>
      <c r="I29" s="5" t="s">
        <v>22</v>
      </c>
      <c r="J29" s="7">
        <v>0.23</v>
      </c>
      <c r="K29" s="7">
        <v>0</v>
      </c>
      <c r="L29" s="7">
        <v>0.77000000000000013</v>
      </c>
      <c r="M29" s="8">
        <v>11.93</v>
      </c>
      <c r="N29" s="8">
        <v>2.86</v>
      </c>
      <c r="O29" s="8">
        <v>14.79</v>
      </c>
    </row>
    <row r="30" spans="1:15" x14ac:dyDescent="0.25">
      <c r="A30" s="68" t="s">
        <v>36</v>
      </c>
      <c r="B30" s="69"/>
      <c r="C30" s="70"/>
      <c r="D30" s="9">
        <f>SUM(D10:D29)</f>
        <v>1633.3000000000002</v>
      </c>
      <c r="E30" s="9"/>
      <c r="F30" s="9"/>
      <c r="G30" s="10"/>
      <c r="H30" s="10"/>
      <c r="I30" s="10"/>
      <c r="J30" s="11"/>
      <c r="K30" s="11"/>
      <c r="L30" s="11"/>
      <c r="M30" s="12">
        <f>AVERAGE(M10:M29)</f>
        <v>9.4959999999999987</v>
      </c>
      <c r="N30" s="12">
        <f>AVERAGE(N10:N29)</f>
        <v>2.9279999999999999</v>
      </c>
      <c r="O30" s="12">
        <f>AVERAGE(O10:O29)</f>
        <v>12.423999999999998</v>
      </c>
    </row>
    <row r="31" spans="1:15" ht="75" customHeight="1" x14ac:dyDescent="0.25">
      <c r="A31" s="73" t="s">
        <v>37</v>
      </c>
      <c r="B31" s="74"/>
      <c r="C31" s="74"/>
      <c r="D31" s="74"/>
      <c r="E31" s="74"/>
      <c r="F31" s="75"/>
      <c r="G31" s="71" t="s">
        <v>38</v>
      </c>
      <c r="H31" s="71"/>
      <c r="I31" s="71"/>
      <c r="J31" s="72" t="s">
        <v>39</v>
      </c>
      <c r="K31" s="72"/>
      <c r="L31" s="72"/>
      <c r="M31" s="72"/>
      <c r="N31" s="72"/>
      <c r="O31" s="72"/>
    </row>
    <row r="33" spans="1:15" ht="60" customHeight="1" x14ac:dyDescent="0.25">
      <c r="A33" s="67" t="s">
        <v>40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</row>
  </sheetData>
  <mergeCells count="11">
    <mergeCell ref="A33:O33"/>
    <mergeCell ref="A30:C30"/>
    <mergeCell ref="G31:I31"/>
    <mergeCell ref="J31:O31"/>
    <mergeCell ref="A31:F31"/>
    <mergeCell ref="A7:O7"/>
    <mergeCell ref="A1:O1"/>
    <mergeCell ref="A2:O2"/>
    <mergeCell ref="A3:O3"/>
    <mergeCell ref="A4:O4"/>
    <mergeCell ref="A5:O5"/>
  </mergeCells>
  <pageMargins left="0.511811024" right="0.511811024" top="0.78740157499999996" bottom="0.78740157499999996" header="0.31496062000000002" footer="0.31496062000000002"/>
  <pageSetup paperSize="9" scale="7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81922-A04E-4DFE-92F8-99ED85DF1099}">
  <sheetPr>
    <pageSetUpPr fitToPage="1"/>
  </sheetPr>
  <dimension ref="A1:L21"/>
  <sheetViews>
    <sheetView showGridLines="0" tabSelected="1" view="pageBreakPreview" topLeftCell="B1" zoomScale="70" zoomScaleNormal="80" zoomScaleSheetLayoutView="70" workbookViewId="0">
      <selection activeCell="L12" sqref="L12:L19"/>
    </sheetView>
  </sheetViews>
  <sheetFormatPr defaultRowHeight="15" x14ac:dyDescent="0.25"/>
  <cols>
    <col min="1" max="1" width="9.7109375" hidden="1" customWidth="1"/>
    <col min="2" max="2" width="29.42578125" customWidth="1"/>
    <col min="3" max="3" width="17.7109375" customWidth="1"/>
    <col min="4" max="5" width="17.5703125" customWidth="1"/>
    <col min="6" max="6" width="16.5703125" customWidth="1"/>
    <col min="7" max="8" width="19.7109375" customWidth="1"/>
    <col min="9" max="9" width="16.28515625" bestFit="1" customWidth="1"/>
    <col min="10" max="10" width="19" bestFit="1" customWidth="1"/>
    <col min="11" max="11" width="21.7109375" bestFit="1" customWidth="1"/>
    <col min="12" max="12" width="35.42578125" bestFit="1" customWidth="1"/>
  </cols>
  <sheetData>
    <row r="1" spans="1:12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x14ac:dyDescent="0.25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x14ac:dyDescent="0.25">
      <c r="A5" s="61" t="s">
        <v>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12" x14ac:dyDescent="0.25">
      <c r="A6" s="2"/>
      <c r="B6" s="2"/>
      <c r="C6" s="2"/>
      <c r="D6" s="2"/>
      <c r="E6" s="2"/>
      <c r="F6" s="2"/>
      <c r="G6" s="51"/>
      <c r="H6" s="51"/>
      <c r="I6" s="51"/>
      <c r="J6" s="51"/>
      <c r="K6" s="51"/>
    </row>
    <row r="7" spans="1:12" x14ac:dyDescent="0.25">
      <c r="A7" s="59" t="s">
        <v>121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12" x14ac:dyDescent="0.25">
      <c r="A8" s="2"/>
      <c r="B8" s="2"/>
      <c r="C8" s="2"/>
      <c r="D8" s="2"/>
      <c r="E8" s="2"/>
      <c r="F8" s="2"/>
      <c r="G8" s="51"/>
      <c r="H8" s="51"/>
      <c r="I8" s="51"/>
      <c r="J8" s="51"/>
      <c r="K8" s="51"/>
    </row>
    <row r="9" spans="1:12" x14ac:dyDescent="0.25">
      <c r="A9" s="59" t="s">
        <v>44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51"/>
      <c r="J10" s="51"/>
      <c r="K10" s="51"/>
      <c r="L10" s="51"/>
    </row>
    <row r="11" spans="1:12" ht="45" x14ac:dyDescent="0.25">
      <c r="A11" s="4" t="s">
        <v>6</v>
      </c>
      <c r="B11" s="4" t="s">
        <v>8</v>
      </c>
      <c r="C11" s="4" t="s">
        <v>11</v>
      </c>
      <c r="D11" s="49" t="s">
        <v>111</v>
      </c>
      <c r="E11" s="49" t="s">
        <v>114</v>
      </c>
      <c r="F11" s="50" t="s">
        <v>113</v>
      </c>
      <c r="G11" s="50" t="s">
        <v>112</v>
      </c>
      <c r="H11" s="50" t="s">
        <v>119</v>
      </c>
      <c r="I11" s="4" t="s">
        <v>117</v>
      </c>
      <c r="J11" s="3" t="s">
        <v>115</v>
      </c>
      <c r="K11" s="3" t="s">
        <v>116</v>
      </c>
      <c r="L11" s="3" t="s">
        <v>118</v>
      </c>
    </row>
    <row r="12" spans="1:12" x14ac:dyDescent="0.25">
      <c r="A12" s="54">
        <v>1</v>
      </c>
      <c r="B12" s="55" t="s">
        <v>122</v>
      </c>
      <c r="C12" s="55" t="s">
        <v>21</v>
      </c>
      <c r="D12" s="55"/>
      <c r="E12" s="55"/>
      <c r="F12" s="55"/>
      <c r="G12" s="55"/>
      <c r="H12" s="54"/>
      <c r="I12" s="56"/>
      <c r="J12" s="57"/>
      <c r="K12" s="57"/>
      <c r="L12" s="52">
        <f>ROUND((D12*I12*E12)+(F12*J12*H12)+(G12*K12*H12),2)</f>
        <v>0</v>
      </c>
    </row>
    <row r="13" spans="1:12" x14ac:dyDescent="0.25">
      <c r="A13" s="54">
        <v>2</v>
      </c>
      <c r="B13" s="55" t="s">
        <v>122</v>
      </c>
      <c r="C13" s="55" t="s">
        <v>110</v>
      </c>
      <c r="D13" s="55"/>
      <c r="E13" s="55"/>
      <c r="F13" s="55"/>
      <c r="G13" s="55"/>
      <c r="H13" s="54"/>
      <c r="I13" s="56"/>
      <c r="J13" s="57"/>
      <c r="K13" s="57"/>
      <c r="L13" s="52">
        <f t="shared" ref="L13:L19" si="0">ROUND((D13*I13*E13)+(F13*J13*H13)+(G13*K13*H13),2)</f>
        <v>0</v>
      </c>
    </row>
    <row r="14" spans="1:12" x14ac:dyDescent="0.25">
      <c r="A14" s="54">
        <v>3</v>
      </c>
      <c r="B14" s="58" t="s">
        <v>123</v>
      </c>
      <c r="C14" s="55" t="s">
        <v>21</v>
      </c>
      <c r="D14" s="55"/>
      <c r="E14" s="55"/>
      <c r="F14" s="55"/>
      <c r="G14" s="55"/>
      <c r="H14" s="54"/>
      <c r="I14" s="56"/>
      <c r="J14" s="57"/>
      <c r="K14" s="57"/>
      <c r="L14" s="52">
        <f t="shared" si="0"/>
        <v>0</v>
      </c>
    </row>
    <row r="15" spans="1:12" x14ac:dyDescent="0.25">
      <c r="A15" s="54">
        <v>4</v>
      </c>
      <c r="B15" s="55" t="s">
        <v>123</v>
      </c>
      <c r="C15" s="55" t="s">
        <v>110</v>
      </c>
      <c r="D15" s="55"/>
      <c r="E15" s="55"/>
      <c r="F15" s="55"/>
      <c r="G15" s="55"/>
      <c r="H15" s="54"/>
      <c r="I15" s="56"/>
      <c r="J15" s="57"/>
      <c r="K15" s="57"/>
      <c r="L15" s="52">
        <f t="shared" si="0"/>
        <v>0</v>
      </c>
    </row>
    <row r="16" spans="1:12" x14ac:dyDescent="0.25">
      <c r="A16" s="54"/>
      <c r="B16" s="55" t="s">
        <v>124</v>
      </c>
      <c r="C16" s="55" t="s">
        <v>21</v>
      </c>
      <c r="D16" s="55"/>
      <c r="E16" s="55"/>
      <c r="F16" s="55"/>
      <c r="G16" s="55"/>
      <c r="H16" s="54"/>
      <c r="I16" s="56"/>
      <c r="J16" s="57"/>
      <c r="K16" s="57"/>
      <c r="L16" s="52">
        <f t="shared" si="0"/>
        <v>0</v>
      </c>
    </row>
    <row r="17" spans="1:12" x14ac:dyDescent="0.25">
      <c r="A17" s="54"/>
      <c r="B17" s="55" t="s">
        <v>124</v>
      </c>
      <c r="C17" s="55" t="s">
        <v>110</v>
      </c>
      <c r="D17" s="55"/>
      <c r="E17" s="55"/>
      <c r="F17" s="55"/>
      <c r="G17" s="55"/>
      <c r="H17" s="54"/>
      <c r="I17" s="56"/>
      <c r="J17" s="57"/>
      <c r="K17" s="57"/>
      <c r="L17" s="52">
        <f t="shared" si="0"/>
        <v>0</v>
      </c>
    </row>
    <row r="18" spans="1:12" x14ac:dyDescent="0.25">
      <c r="A18" s="54"/>
      <c r="B18" s="55" t="s">
        <v>125</v>
      </c>
      <c r="C18" s="55" t="s">
        <v>21</v>
      </c>
      <c r="D18" s="55"/>
      <c r="E18" s="55"/>
      <c r="F18" s="55"/>
      <c r="G18" s="55"/>
      <c r="H18" s="54"/>
      <c r="I18" s="56"/>
      <c r="J18" s="57"/>
      <c r="K18" s="57"/>
      <c r="L18" s="52">
        <f t="shared" si="0"/>
        <v>0</v>
      </c>
    </row>
    <row r="19" spans="1:12" x14ac:dyDescent="0.25">
      <c r="A19" s="54"/>
      <c r="B19" s="55" t="s">
        <v>125</v>
      </c>
      <c r="C19" s="55" t="s">
        <v>110</v>
      </c>
      <c r="D19" s="55"/>
      <c r="E19" s="55"/>
      <c r="F19" s="55"/>
      <c r="G19" s="55"/>
      <c r="H19" s="54"/>
      <c r="I19" s="56"/>
      <c r="J19" s="57"/>
      <c r="K19" s="57"/>
      <c r="L19" s="52">
        <f t="shared" si="0"/>
        <v>0</v>
      </c>
    </row>
    <row r="20" spans="1:12" x14ac:dyDescent="0.25">
      <c r="A20" s="60" t="s">
        <v>120</v>
      </c>
      <c r="B20" s="60"/>
      <c r="C20" s="60"/>
      <c r="D20" s="4">
        <f>SUM(D12:D19)</f>
        <v>0</v>
      </c>
      <c r="E20" s="4">
        <f t="shared" ref="E20:G20" si="1">SUM(E12:E19)</f>
        <v>0</v>
      </c>
      <c r="F20" s="4">
        <f t="shared" si="1"/>
        <v>0</v>
      </c>
      <c r="G20" s="4">
        <f t="shared" si="1"/>
        <v>0</v>
      </c>
      <c r="H20" s="4"/>
      <c r="I20" s="48"/>
      <c r="J20" s="48"/>
      <c r="K20" s="48"/>
      <c r="L20" s="53">
        <f>SUM(L12:L19)</f>
        <v>0</v>
      </c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mergeCells count="8">
    <mergeCell ref="A7:L7"/>
    <mergeCell ref="A9:L9"/>
    <mergeCell ref="A20:C20"/>
    <mergeCell ref="A1:L1"/>
    <mergeCell ref="A2:L2"/>
    <mergeCell ref="A3:L3"/>
    <mergeCell ref="A4:L4"/>
    <mergeCell ref="A5:L5"/>
  </mergeCells>
  <pageMargins left="0.511811024" right="0.511811024" top="0.78740157499999996" bottom="0.78740157499999996" header="0.31496062000000002" footer="0.31496062000000002"/>
  <pageSetup paperSize="9" scale="40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INSUMOS ATUAL ESP</vt:lpstr>
      <vt:lpstr>CÁLCULO ESP</vt:lpstr>
      <vt:lpstr>CÁLCULO REFERENCIAL</vt:lpstr>
      <vt:lpstr>'CÁLCULO ESP'!Area_de_impressao</vt:lpstr>
      <vt:lpstr>'CÁLCULO REFERENCIAL'!Area_de_impressao</vt:lpstr>
      <vt:lpstr>'INSUMOS ATUAL ESP'!Area_de_impressao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Markson Gonçalves Lima</dc:creator>
  <cp:lastModifiedBy>Markson Gonçalves Lima</cp:lastModifiedBy>
  <cp:lastPrinted>2026-04-27T16:52:54Z</cp:lastPrinted>
  <dcterms:created xsi:type="dcterms:W3CDTF">2023-11-28T19:14:25Z</dcterms:created>
  <dcterms:modified xsi:type="dcterms:W3CDTF">2026-08-18T13:20:02Z</dcterms:modified>
</cp:coreProperties>
</file>